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Kusiak\OneDrive - State of Maine\Desktop\"/>
    </mc:Choice>
  </mc:AlternateContent>
  <xr:revisionPtr revIDLastSave="0" documentId="8_{B065CEA9-58A5-4176-9B12-6412D863CDA5}" xr6:coauthVersionLast="47" xr6:coauthVersionMax="47" xr10:uidLastSave="{00000000-0000-0000-0000-000000000000}"/>
  <bookViews>
    <workbookView xWindow="720" yWindow="720" windowWidth="16190" windowHeight="8910" xr2:uid="{1A827371-594B-A641-9D75-7566FF000FF0}"/>
  </bookViews>
  <sheets>
    <sheet name="Non-excepted LEA-wide" sheetId="1" r:id="rId1"/>
    <sheet name="Non-excepted Grade-span" sheetId="2" r:id="rId2"/>
  </sheets>
  <definedNames>
    <definedName name="_xlnm._FilterDatabase" localSheetId="0" hidden="1">'Non-excepted LEA-wide'!$A$1:$R$64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2" i="2"/>
  <c r="Q3" i="2"/>
  <c r="Q4" i="2"/>
  <c r="Q5" i="2"/>
  <c r="Q6" i="2"/>
  <c r="Q7" i="2"/>
  <c r="Q8" i="2"/>
  <c r="Q9" i="2"/>
  <c r="Q10" i="2"/>
  <c r="Q11" i="2"/>
  <c r="N3" i="2"/>
  <c r="N4" i="2"/>
  <c r="N5" i="2"/>
  <c r="N6" i="2"/>
  <c r="N7" i="2"/>
  <c r="N8" i="2"/>
  <c r="N9" i="2"/>
  <c r="N10" i="2"/>
  <c r="N11" i="2"/>
  <c r="K3" i="2"/>
  <c r="K4" i="2"/>
  <c r="K5" i="2"/>
  <c r="K6" i="2"/>
  <c r="K7" i="2"/>
  <c r="K8" i="2"/>
  <c r="K9" i="2"/>
  <c r="K10" i="2"/>
  <c r="K11" i="2"/>
  <c r="K2" i="2"/>
  <c r="J3" i="2"/>
  <c r="J4" i="2"/>
  <c r="J5" i="2"/>
  <c r="J6" i="2"/>
  <c r="J7" i="2"/>
  <c r="J8" i="2"/>
  <c r="J9" i="2"/>
  <c r="J10" i="2"/>
  <c r="J11" i="2"/>
  <c r="G13" i="1"/>
  <c r="G14" i="1"/>
  <c r="G15" i="1"/>
  <c r="G17" i="1"/>
  <c r="G16" i="1"/>
  <c r="G18" i="1"/>
  <c r="G19" i="1"/>
  <c r="G20" i="1"/>
  <c r="M28" i="1"/>
  <c r="M41" i="1"/>
  <c r="L41" i="1"/>
  <c r="N41" i="1" s="1"/>
  <c r="G41" i="1"/>
  <c r="J5" i="1"/>
  <c r="J4" i="1"/>
  <c r="J7" i="1"/>
  <c r="K7" i="1" s="1"/>
  <c r="J8" i="1"/>
  <c r="K8" i="1" s="1"/>
  <c r="J9" i="1"/>
  <c r="K9" i="1" s="1"/>
  <c r="J6" i="1"/>
  <c r="K6" i="1" s="1"/>
  <c r="J11" i="1"/>
  <c r="K11" i="1" s="1"/>
  <c r="J10" i="1"/>
  <c r="K10" i="1" s="1"/>
  <c r="J12" i="1"/>
  <c r="J13" i="1"/>
  <c r="J15" i="1"/>
  <c r="J14" i="1"/>
  <c r="J16" i="1"/>
  <c r="J17" i="1"/>
  <c r="J19" i="1"/>
  <c r="J18" i="1"/>
  <c r="J20" i="1"/>
  <c r="K20" i="1" s="1"/>
  <c r="J21" i="1"/>
  <c r="K21" i="1" s="1"/>
  <c r="J23" i="1"/>
  <c r="J22" i="1"/>
  <c r="J24" i="1"/>
  <c r="J25" i="1"/>
  <c r="J26" i="1"/>
  <c r="J27" i="1"/>
  <c r="J28" i="1"/>
  <c r="J29" i="1"/>
  <c r="J31" i="1"/>
  <c r="J32" i="1"/>
  <c r="J30" i="1"/>
  <c r="J33" i="1"/>
  <c r="J34" i="1"/>
  <c r="J35" i="1"/>
  <c r="J36" i="1"/>
  <c r="J37" i="1"/>
  <c r="J38" i="1"/>
  <c r="J40" i="1"/>
  <c r="J39" i="1"/>
  <c r="J42" i="1"/>
  <c r="J41" i="1"/>
  <c r="J43" i="1"/>
  <c r="J44" i="1"/>
  <c r="J45" i="1"/>
  <c r="J46" i="1"/>
  <c r="J48" i="1"/>
  <c r="J47" i="1"/>
  <c r="J49" i="1"/>
  <c r="J50" i="1"/>
  <c r="J51" i="1"/>
  <c r="J52" i="1"/>
  <c r="J54" i="1"/>
  <c r="J53" i="1"/>
  <c r="J55" i="1"/>
  <c r="J56" i="1"/>
  <c r="K56" i="1" s="1"/>
  <c r="J57" i="1"/>
  <c r="K57" i="1" s="1"/>
  <c r="J58" i="1"/>
  <c r="K58" i="1" s="1"/>
  <c r="J59" i="1"/>
  <c r="K59" i="1" s="1"/>
  <c r="J60" i="1"/>
  <c r="K60" i="1" s="1"/>
  <c r="J64" i="1"/>
  <c r="K64" i="1" s="1"/>
  <c r="J63" i="1"/>
  <c r="K63" i="1" s="1"/>
  <c r="J62" i="1"/>
  <c r="K62" i="1" s="1"/>
  <c r="J61" i="1"/>
  <c r="K61" i="1" s="1"/>
  <c r="Q7" i="1"/>
  <c r="Q8" i="1"/>
  <c r="Q9" i="1"/>
  <c r="Q6" i="1"/>
  <c r="Q11" i="1"/>
  <c r="Q10" i="1"/>
  <c r="Q15" i="1"/>
  <c r="Q14" i="1"/>
  <c r="Q16" i="1"/>
  <c r="Q17" i="1"/>
  <c r="Q19" i="1"/>
  <c r="Q18" i="1"/>
  <c r="Q20" i="1"/>
  <c r="Q21" i="1"/>
  <c r="Q41" i="1"/>
  <c r="Q56" i="1"/>
  <c r="Q57" i="1"/>
  <c r="Q58" i="1"/>
  <c r="Q59" i="1"/>
  <c r="Q60" i="1"/>
  <c r="Q64" i="1"/>
  <c r="Q63" i="1"/>
  <c r="Q62" i="1"/>
  <c r="Q61" i="1"/>
  <c r="N7" i="1"/>
  <c r="R7" i="1" s="1"/>
  <c r="N8" i="1"/>
  <c r="R8" i="1" s="1"/>
  <c r="N9" i="1"/>
  <c r="R9" i="1" s="1"/>
  <c r="N6" i="1"/>
  <c r="R6" i="1" s="1"/>
  <c r="N11" i="1"/>
  <c r="R11" i="1" s="1"/>
  <c r="N10" i="1"/>
  <c r="R10" i="1" s="1"/>
  <c r="N15" i="1"/>
  <c r="R15" i="1" s="1"/>
  <c r="N14" i="1"/>
  <c r="R14" i="1" s="1"/>
  <c r="N16" i="1"/>
  <c r="R16" i="1" s="1"/>
  <c r="N17" i="1"/>
  <c r="R17" i="1" s="1"/>
  <c r="N19" i="1"/>
  <c r="R19" i="1" s="1"/>
  <c r="N18" i="1"/>
  <c r="R18" i="1" s="1"/>
  <c r="N20" i="1"/>
  <c r="R20" i="1" s="1"/>
  <c r="N21" i="1"/>
  <c r="R21" i="1" s="1"/>
  <c r="N56" i="1"/>
  <c r="N57" i="1"/>
  <c r="N58" i="1"/>
  <c r="N59" i="1"/>
  <c r="N60" i="1"/>
  <c r="N64" i="1"/>
  <c r="N63" i="1"/>
  <c r="N62" i="1"/>
  <c r="N61" i="1"/>
  <c r="P11" i="2"/>
  <c r="O11" i="2"/>
  <c r="M11" i="2"/>
  <c r="L11" i="2"/>
  <c r="G11" i="2"/>
  <c r="P10" i="2"/>
  <c r="O10" i="2"/>
  <c r="M10" i="2"/>
  <c r="L10" i="2"/>
  <c r="G10" i="2"/>
  <c r="P9" i="2"/>
  <c r="O9" i="2"/>
  <c r="M9" i="2"/>
  <c r="L9" i="2"/>
  <c r="G9" i="2"/>
  <c r="P8" i="2"/>
  <c r="O8" i="2"/>
  <c r="M8" i="2"/>
  <c r="L8" i="2"/>
  <c r="G8" i="2"/>
  <c r="P7" i="2"/>
  <c r="O7" i="2"/>
  <c r="M7" i="2"/>
  <c r="L7" i="2"/>
  <c r="G7" i="2"/>
  <c r="P6" i="2"/>
  <c r="O6" i="2"/>
  <c r="M6" i="2"/>
  <c r="L6" i="2"/>
  <c r="G6" i="2"/>
  <c r="P5" i="2"/>
  <c r="O5" i="2"/>
  <c r="M5" i="2"/>
  <c r="L5" i="2"/>
  <c r="G5" i="2"/>
  <c r="P4" i="2"/>
  <c r="O4" i="2"/>
  <c r="M4" i="2"/>
  <c r="L4" i="2"/>
  <c r="G4" i="2"/>
  <c r="P3" i="2"/>
  <c r="O3" i="2"/>
  <c r="M3" i="2"/>
  <c r="L3" i="2"/>
  <c r="G3" i="2"/>
  <c r="P2" i="2"/>
  <c r="O2" i="2"/>
  <c r="M2" i="2"/>
  <c r="L2" i="2"/>
  <c r="J2" i="2"/>
  <c r="G2" i="2"/>
  <c r="P55" i="1"/>
  <c r="O55" i="1"/>
  <c r="M55" i="1"/>
  <c r="L55" i="1"/>
  <c r="G55" i="1"/>
  <c r="P53" i="1"/>
  <c r="O53" i="1"/>
  <c r="M53" i="1"/>
  <c r="L53" i="1"/>
  <c r="G53" i="1"/>
  <c r="P54" i="1"/>
  <c r="O54" i="1"/>
  <c r="M54" i="1"/>
  <c r="L54" i="1"/>
  <c r="G54" i="1"/>
  <c r="P52" i="1"/>
  <c r="O52" i="1"/>
  <c r="M52" i="1"/>
  <c r="L52" i="1"/>
  <c r="G52" i="1"/>
  <c r="P51" i="1"/>
  <c r="O51" i="1"/>
  <c r="M51" i="1"/>
  <c r="L51" i="1"/>
  <c r="G51" i="1"/>
  <c r="P50" i="1"/>
  <c r="O50" i="1"/>
  <c r="M50" i="1"/>
  <c r="L50" i="1"/>
  <c r="G50" i="1"/>
  <c r="P49" i="1"/>
  <c r="O49" i="1"/>
  <c r="M49" i="1"/>
  <c r="L49" i="1"/>
  <c r="G49" i="1"/>
  <c r="P47" i="1"/>
  <c r="O47" i="1"/>
  <c r="M47" i="1"/>
  <c r="L47" i="1"/>
  <c r="G47" i="1"/>
  <c r="P48" i="1"/>
  <c r="O48" i="1"/>
  <c r="M48" i="1"/>
  <c r="L48" i="1"/>
  <c r="G48" i="1"/>
  <c r="P46" i="1"/>
  <c r="O46" i="1"/>
  <c r="M46" i="1"/>
  <c r="L46" i="1"/>
  <c r="G46" i="1"/>
  <c r="P45" i="1"/>
  <c r="O45" i="1"/>
  <c r="M45" i="1"/>
  <c r="L45" i="1"/>
  <c r="G45" i="1"/>
  <c r="P44" i="1"/>
  <c r="O44" i="1"/>
  <c r="M44" i="1"/>
  <c r="L44" i="1"/>
  <c r="G44" i="1"/>
  <c r="P43" i="1"/>
  <c r="O43" i="1"/>
  <c r="M43" i="1"/>
  <c r="L43" i="1"/>
  <c r="G43" i="1"/>
  <c r="P42" i="1"/>
  <c r="O42" i="1"/>
  <c r="M42" i="1"/>
  <c r="L42" i="1"/>
  <c r="G42" i="1"/>
  <c r="P39" i="1"/>
  <c r="O39" i="1"/>
  <c r="M39" i="1"/>
  <c r="L39" i="1"/>
  <c r="G39" i="1"/>
  <c r="P40" i="1"/>
  <c r="O40" i="1"/>
  <c r="M40" i="1"/>
  <c r="L40" i="1"/>
  <c r="G40" i="1"/>
  <c r="P38" i="1"/>
  <c r="O38" i="1"/>
  <c r="M38" i="1"/>
  <c r="L38" i="1"/>
  <c r="G38" i="1"/>
  <c r="P37" i="1"/>
  <c r="O37" i="1"/>
  <c r="M37" i="1"/>
  <c r="L37" i="1"/>
  <c r="G37" i="1"/>
  <c r="P36" i="1"/>
  <c r="O36" i="1"/>
  <c r="M36" i="1"/>
  <c r="L36" i="1"/>
  <c r="G36" i="1"/>
  <c r="P35" i="1"/>
  <c r="O35" i="1"/>
  <c r="M35" i="1"/>
  <c r="L35" i="1"/>
  <c r="G35" i="1"/>
  <c r="P34" i="1"/>
  <c r="O34" i="1"/>
  <c r="M34" i="1"/>
  <c r="L34" i="1"/>
  <c r="G34" i="1"/>
  <c r="P33" i="1"/>
  <c r="O33" i="1"/>
  <c r="M33" i="1"/>
  <c r="L33" i="1"/>
  <c r="G33" i="1"/>
  <c r="P30" i="1"/>
  <c r="O30" i="1"/>
  <c r="M30" i="1"/>
  <c r="L30" i="1"/>
  <c r="G30" i="1"/>
  <c r="P32" i="1"/>
  <c r="O32" i="1"/>
  <c r="M32" i="1"/>
  <c r="L32" i="1"/>
  <c r="G32" i="1"/>
  <c r="P31" i="1"/>
  <c r="O31" i="1"/>
  <c r="M31" i="1"/>
  <c r="L31" i="1"/>
  <c r="G31" i="1"/>
  <c r="P29" i="1"/>
  <c r="O29" i="1"/>
  <c r="M29" i="1"/>
  <c r="L29" i="1"/>
  <c r="G29" i="1"/>
  <c r="P28" i="1"/>
  <c r="O28" i="1"/>
  <c r="L28" i="1"/>
  <c r="G28" i="1"/>
  <c r="P27" i="1"/>
  <c r="O27" i="1"/>
  <c r="M27" i="1"/>
  <c r="L27" i="1"/>
  <c r="G27" i="1"/>
  <c r="P26" i="1"/>
  <c r="O26" i="1"/>
  <c r="M26" i="1"/>
  <c r="L26" i="1"/>
  <c r="G26" i="1"/>
  <c r="P25" i="1"/>
  <c r="O25" i="1"/>
  <c r="M25" i="1"/>
  <c r="L25" i="1"/>
  <c r="G25" i="1"/>
  <c r="P24" i="1"/>
  <c r="O24" i="1"/>
  <c r="M24" i="1"/>
  <c r="L24" i="1"/>
  <c r="G24" i="1"/>
  <c r="P22" i="1"/>
  <c r="O22" i="1"/>
  <c r="M22" i="1"/>
  <c r="L22" i="1"/>
  <c r="G22" i="1"/>
  <c r="P23" i="1"/>
  <c r="O23" i="1"/>
  <c r="M23" i="1"/>
  <c r="L23" i="1"/>
  <c r="G23" i="1"/>
  <c r="P13" i="1"/>
  <c r="O13" i="1"/>
  <c r="M13" i="1"/>
  <c r="L13" i="1"/>
  <c r="P12" i="1"/>
  <c r="O12" i="1"/>
  <c r="M12" i="1"/>
  <c r="L12" i="1"/>
  <c r="G12" i="1"/>
  <c r="G4" i="1"/>
  <c r="G5" i="1"/>
  <c r="I2" i="1"/>
  <c r="H2" i="1"/>
  <c r="G2" i="1"/>
  <c r="I3" i="1"/>
  <c r="H3" i="1"/>
  <c r="G3" i="1"/>
  <c r="P4" i="1"/>
  <c r="O4" i="1"/>
  <c r="M4" i="1"/>
  <c r="L4" i="1"/>
  <c r="P5" i="1"/>
  <c r="O5" i="1"/>
  <c r="M5" i="1"/>
  <c r="L5" i="1"/>
  <c r="P2" i="1"/>
  <c r="O2" i="1"/>
  <c r="M2" i="1"/>
  <c r="L2" i="1"/>
  <c r="P3" i="1"/>
  <c r="O3" i="1"/>
  <c r="M3" i="1"/>
  <c r="L3" i="1"/>
  <c r="N2" i="1" l="1"/>
  <c r="Q2" i="1"/>
  <c r="N5" i="1"/>
  <c r="Q5" i="1"/>
  <c r="N4" i="1"/>
  <c r="Q4" i="1"/>
  <c r="J2" i="1"/>
  <c r="N12" i="1"/>
  <c r="Q12" i="1"/>
  <c r="N13" i="1"/>
  <c r="Q13" i="1"/>
  <c r="N23" i="1"/>
  <c r="Q23" i="1"/>
  <c r="N22" i="1"/>
  <c r="Q22" i="1"/>
  <c r="N24" i="1"/>
  <c r="Q24" i="1"/>
  <c r="N25" i="1"/>
  <c r="Q25" i="1"/>
  <c r="N26" i="1"/>
  <c r="Q26" i="1"/>
  <c r="N27" i="1"/>
  <c r="Q27" i="1"/>
  <c r="Q28" i="1"/>
  <c r="N29" i="1"/>
  <c r="Q29" i="1"/>
  <c r="N31" i="1"/>
  <c r="Q31" i="1"/>
  <c r="N32" i="1"/>
  <c r="Q32" i="1"/>
  <c r="N30" i="1"/>
  <c r="Q30" i="1"/>
  <c r="N33" i="1"/>
  <c r="Q33" i="1"/>
  <c r="N34" i="1"/>
  <c r="Q34" i="1"/>
  <c r="N35" i="1"/>
  <c r="Q35" i="1"/>
  <c r="N36" i="1"/>
  <c r="Q36" i="1"/>
  <c r="N37" i="1"/>
  <c r="Q37" i="1"/>
  <c r="N38" i="1"/>
  <c r="Q38" i="1"/>
  <c r="N40" i="1"/>
  <c r="Q40" i="1"/>
  <c r="N39" i="1"/>
  <c r="Q39" i="1"/>
  <c r="N42" i="1"/>
  <c r="Q42" i="1"/>
  <c r="N43" i="1"/>
  <c r="Q43" i="1"/>
  <c r="N44" i="1"/>
  <c r="Q44" i="1"/>
  <c r="N45" i="1"/>
  <c r="Q45" i="1"/>
  <c r="N46" i="1"/>
  <c r="Q46" i="1"/>
  <c r="N48" i="1"/>
  <c r="Q48" i="1"/>
  <c r="N47" i="1"/>
  <c r="Q47" i="1"/>
  <c r="N49" i="1"/>
  <c r="Q49" i="1"/>
  <c r="N50" i="1"/>
  <c r="Q50" i="1"/>
  <c r="N51" i="1"/>
  <c r="Q51" i="1"/>
  <c r="N52" i="1"/>
  <c r="Q52" i="1"/>
  <c r="N54" i="1"/>
  <c r="Q54" i="1"/>
  <c r="N53" i="1"/>
  <c r="Q53" i="1"/>
  <c r="N55" i="1"/>
  <c r="Q55" i="1"/>
  <c r="N28" i="1"/>
  <c r="R38" i="1"/>
  <c r="K2" i="1"/>
  <c r="K17" i="1"/>
  <c r="K30" i="1"/>
  <c r="K39" i="1"/>
  <c r="R31" i="1"/>
  <c r="K24" i="1"/>
  <c r="K19" i="1"/>
  <c r="K37" i="1"/>
  <c r="K29" i="1"/>
  <c r="K14" i="1"/>
  <c r="R2" i="1"/>
  <c r="R63" i="1"/>
  <c r="R53" i="1"/>
  <c r="R46" i="1"/>
  <c r="R37" i="1"/>
  <c r="R29" i="1"/>
  <c r="R40" i="1"/>
  <c r="R32" i="1"/>
  <c r="K33" i="1"/>
  <c r="K42" i="1"/>
  <c r="K25" i="1"/>
  <c r="K49" i="1"/>
  <c r="K16" i="1"/>
  <c r="K15" i="1"/>
  <c r="K18" i="1"/>
  <c r="R44" i="1"/>
  <c r="R58" i="1"/>
  <c r="K5" i="1"/>
  <c r="K26" i="1"/>
  <c r="R34" i="1"/>
  <c r="R64" i="1"/>
  <c r="R54" i="1"/>
  <c r="R45" i="1"/>
  <c r="R39" i="1"/>
  <c r="R30" i="1"/>
  <c r="K44" i="1"/>
  <c r="K52" i="1"/>
  <c r="R36" i="1"/>
  <c r="R60" i="1"/>
  <c r="R52" i="1"/>
  <c r="K36" i="1"/>
  <c r="R57" i="1"/>
  <c r="R49" i="1"/>
  <c r="K28" i="1"/>
  <c r="R35" i="1"/>
  <c r="R59" i="1"/>
  <c r="R51" i="1"/>
  <c r="R43" i="1"/>
  <c r="K27" i="1"/>
  <c r="R42" i="1"/>
  <c r="R28" i="1"/>
  <c r="K32" i="1"/>
  <c r="K40" i="1"/>
  <c r="K22" i="1"/>
  <c r="K48" i="1"/>
  <c r="K55" i="1"/>
  <c r="K46" i="1"/>
  <c r="K23" i="1"/>
  <c r="K45" i="1"/>
  <c r="K54" i="1"/>
  <c r="K53" i="1"/>
  <c r="K31" i="1"/>
  <c r="K38" i="1"/>
  <c r="K41" i="1"/>
  <c r="K13" i="1"/>
  <c r="K34" i="1"/>
  <c r="K4" i="1"/>
  <c r="K47" i="1"/>
  <c r="K43" i="1"/>
  <c r="K12" i="1"/>
  <c r="K51" i="1"/>
  <c r="K50" i="1"/>
  <c r="K35" i="1"/>
  <c r="R48" i="1"/>
  <c r="R61" i="1"/>
  <c r="R56" i="1"/>
  <c r="R47" i="1"/>
  <c r="R62" i="1"/>
  <c r="R55" i="1"/>
  <c r="N2" i="2"/>
  <c r="Q2" i="2"/>
  <c r="J3" i="1"/>
  <c r="K3" i="1" s="1"/>
  <c r="N3" i="1"/>
  <c r="Q3" i="1"/>
  <c r="R27" i="1" l="1"/>
  <c r="R26" i="1"/>
  <c r="R25" i="1"/>
  <c r="R24" i="1"/>
  <c r="R22" i="1"/>
  <c r="R23" i="1"/>
  <c r="R13" i="1"/>
  <c r="R12" i="1"/>
  <c r="R4" i="1"/>
  <c r="R5" i="1"/>
  <c r="R3" i="1"/>
</calcChain>
</file>

<file path=xl/sharedStrings.xml><?xml version="1.0" encoding="utf-8"?>
<sst xmlns="http://schemas.openxmlformats.org/spreadsheetml/2006/main" count="259" uniqueCount="155">
  <si>
    <t>NCES Code</t>
  </si>
  <si>
    <t>LEA Name</t>
  </si>
  <si>
    <t>School Name</t>
  </si>
  <si>
    <t>Grade Levels</t>
  </si>
  <si>
    <t>FY2022 Per-pupil Funding</t>
  </si>
  <si>
    <t>FY2023 Per-pupil Funding</t>
  </si>
  <si>
    <t>Per-pupil Funding Increase (Decrease)</t>
  </si>
  <si>
    <t>FY2022 Districtwide Per-pupil funding for all Schools in LEA</t>
  </si>
  <si>
    <t>FY2023 Districtwide Per-pupil funding for all Schools in LEA</t>
  </si>
  <si>
    <t>Districtwide LEA Per-pupil Funding Increase (Decrease)</t>
  </si>
  <si>
    <t>Maintained Fiscal Equity (T/F)</t>
  </si>
  <si>
    <t xml:space="preserve">FY2022 FTE Staffing Per-pupil </t>
  </si>
  <si>
    <t xml:space="preserve">FY2023 FTE Staffing Per-pupil </t>
  </si>
  <si>
    <t>FTE Staffing Per-pupil Change</t>
  </si>
  <si>
    <t>FY2022 Districtwide FTE Staffing Per-Pupil</t>
  </si>
  <si>
    <t xml:space="preserve">FY2023 Districtwide FTE Staffing Per-pupil </t>
  </si>
  <si>
    <t>Districtwide FTE Per-pupil Staffing Change</t>
  </si>
  <si>
    <t>Maintained Staffing Equity (T/F)</t>
  </si>
  <si>
    <t>Augusta Public Schools</t>
  </si>
  <si>
    <t>Sylvio J Gilbert School</t>
  </si>
  <si>
    <t>PK-6</t>
  </si>
  <si>
    <t>Farrington School</t>
  </si>
  <si>
    <t>K-6</t>
  </si>
  <si>
    <t>Gorham Public Schools</t>
  </si>
  <si>
    <t>Village Elementary School-Gorham</t>
  </si>
  <si>
    <t>K-5</t>
  </si>
  <si>
    <t>Great Falls Elementary School</t>
  </si>
  <si>
    <t>Portland Public Schools</t>
  </si>
  <si>
    <t>Howard C Reiche Community School</t>
  </si>
  <si>
    <t>PK-5</t>
  </si>
  <si>
    <t>King Middle School</t>
  </si>
  <si>
    <t>6-8</t>
  </si>
  <si>
    <t>East End Community School</t>
  </si>
  <si>
    <t>Gerald E Talbot Community School</t>
  </si>
  <si>
    <t>RSU 01 - LKRSU</t>
  </si>
  <si>
    <t>Dike-Newell School</t>
  </si>
  <si>
    <t>PK-2</t>
  </si>
  <si>
    <t>Fisher-Mitchell School</t>
  </si>
  <si>
    <t>3-5</t>
  </si>
  <si>
    <t>RSU 02</t>
  </si>
  <si>
    <t>Richmond Middle School</t>
  </si>
  <si>
    <t>Dresden Elementary School</t>
  </si>
  <si>
    <t>RSU 05</t>
  </si>
  <si>
    <t>Morse Street School</t>
  </si>
  <si>
    <t>Mast Landing School</t>
  </si>
  <si>
    <t>RSU 06/MSAD 06</t>
  </si>
  <si>
    <t>George E Jack School</t>
  </si>
  <si>
    <t>4-5</t>
  </si>
  <si>
    <t>Buxton Center Elementary School</t>
  </si>
  <si>
    <t>RSU 09</t>
  </si>
  <si>
    <t>Cascade Brook School</t>
  </si>
  <si>
    <t>Cape Cod Hill School</t>
  </si>
  <si>
    <t>RSU 10</t>
  </si>
  <si>
    <t>Mountain Valley Middle School</t>
  </si>
  <si>
    <t>5-8</t>
  </si>
  <si>
    <t>Meroby Elementary School</t>
  </si>
  <si>
    <t>PK-4</t>
  </si>
  <si>
    <t>RSU 13</t>
  </si>
  <si>
    <t>South School</t>
  </si>
  <si>
    <t>Thomaston Grammar School</t>
  </si>
  <si>
    <t>RSU 14</t>
  </si>
  <si>
    <t>Windham Primary</t>
  </si>
  <si>
    <t>K-3</t>
  </si>
  <si>
    <t>Jordan-Small Middle School</t>
  </si>
  <si>
    <t>RSU 15/MSAD 15</t>
  </si>
  <si>
    <t>Gray-New Gloucester Middle School</t>
  </si>
  <si>
    <t>Russell School</t>
  </si>
  <si>
    <t>K-2</t>
  </si>
  <si>
    <t>RSU 16</t>
  </si>
  <si>
    <t>Bruce M Whittier Middle School</t>
  </si>
  <si>
    <t>7-8</t>
  </si>
  <si>
    <t>Elm Street School-Mechanic Falls</t>
  </si>
  <si>
    <t>RSU 17/MSAD 17</t>
  </si>
  <si>
    <t>Agnes Gray</t>
  </si>
  <si>
    <t>Oxford Hills Middle School</t>
  </si>
  <si>
    <t>Guy E Rowe School</t>
  </si>
  <si>
    <t>RSU 18</t>
  </si>
  <si>
    <t>Williams Elementary School</t>
  </si>
  <si>
    <t>True</t>
  </si>
  <si>
    <t>China Middle School</t>
  </si>
  <si>
    <t>RSU 21</t>
  </si>
  <si>
    <t>Middle School of the Kennebunks</t>
  </si>
  <si>
    <t>Mildred L Day School</t>
  </si>
  <si>
    <t>RSU 22</t>
  </si>
  <si>
    <t xml:space="preserve">Samuel L. Wagner Middle School </t>
  </si>
  <si>
    <t xml:space="preserve">Leroy S. Smith School </t>
  </si>
  <si>
    <t>RSU 38</t>
  </si>
  <si>
    <t>Readfield Elementary School</t>
  </si>
  <si>
    <t>Mt Vernon Elementary School</t>
  </si>
  <si>
    <t>RSU 40/MSAD 40</t>
  </si>
  <si>
    <t>Warren Community School</t>
  </si>
  <si>
    <t>Miller School</t>
  </si>
  <si>
    <t>RSU 49/MSAD 49</t>
  </si>
  <si>
    <t>Clinton Elementary School</t>
  </si>
  <si>
    <t>Fairfield Primary School</t>
  </si>
  <si>
    <t>PK-K</t>
  </si>
  <si>
    <t>RSU 54/MSAD 54</t>
  </si>
  <si>
    <t>North Elementary</t>
  </si>
  <si>
    <t>Canaan Elementary School</t>
  </si>
  <si>
    <t>RSU 60/MSAD 60</t>
  </si>
  <si>
    <t>Hanson School</t>
  </si>
  <si>
    <t>Lebanon Elementary School</t>
  </si>
  <si>
    <t>RSU 71</t>
  </si>
  <si>
    <t>Kermit S Nickerson School</t>
  </si>
  <si>
    <t>East Belfast School</t>
  </si>
  <si>
    <t>RSU 75/MSAD 75</t>
  </si>
  <si>
    <t>Mt Ararat Middle School</t>
  </si>
  <si>
    <t>Harpswell Community School</t>
  </si>
  <si>
    <t>RSU 79/MSAD 01</t>
  </si>
  <si>
    <t>Pine Street Elementary School</t>
  </si>
  <si>
    <t>Eva Hoyt Zippel School</t>
  </si>
  <si>
    <t>Saco Public Schools</t>
  </si>
  <si>
    <t>C K Burns School</t>
  </si>
  <si>
    <t>Governor John Fairfield School</t>
  </si>
  <si>
    <t>Sanford Public Schools</t>
  </si>
  <si>
    <t>Carl J Lamb School</t>
  </si>
  <si>
    <t>Sanford Pride Elementary School</t>
  </si>
  <si>
    <t>Scarborough Public Schools</t>
  </si>
  <si>
    <t>Blue Point School</t>
  </si>
  <si>
    <t>Eight Corners School</t>
  </si>
  <si>
    <t>South Portland</t>
  </si>
  <si>
    <t>Skillin Elementary</t>
  </si>
  <si>
    <t>K-4</t>
  </si>
  <si>
    <t>Kaler Elementary</t>
  </si>
  <si>
    <t>Westbrook Public Schools</t>
  </si>
  <si>
    <t>Saccarappa School</t>
  </si>
  <si>
    <t>Oxford-Cumberland Canal School</t>
  </si>
  <si>
    <t xml:space="preserve"> </t>
  </si>
  <si>
    <t>FY2022 Gradespan Per-pupil Funding</t>
  </si>
  <si>
    <t>FY2023 Gradespan Per-pupil Funding</t>
  </si>
  <si>
    <t>Gradespan Per-pupil Funding Increase (Decrease)</t>
  </si>
  <si>
    <t>FY2022 Gradespan Per-pupil funding for all Schools in LEA</t>
  </si>
  <si>
    <t>FY2023 Gradespan Per-pupil funding for all Schools in LEA</t>
  </si>
  <si>
    <t>Gradespan LEA Per-pupil Funding Increase (Decrease)</t>
  </si>
  <si>
    <t xml:space="preserve">Gradespan FY2022 FTE Staffing Per-pupil </t>
  </si>
  <si>
    <t xml:space="preserve">Gradespan FY2023 FTE Staffing Per-pupil </t>
  </si>
  <si>
    <t>Gradespan FTE Staffing Per-pupil Change</t>
  </si>
  <si>
    <t>FY2022 Gradespan FTE Staffing Per-Pupil</t>
  </si>
  <si>
    <t xml:space="preserve">FY2023 Gradespan FTE Staffing Per-pupil </t>
  </si>
  <si>
    <t>Gradespan FTE Per-pupil Staffing Change</t>
  </si>
  <si>
    <t>Auburn Public Schools</t>
  </si>
  <si>
    <t>Auburn Middle School</t>
  </si>
  <si>
    <t>Edward Little HS</t>
  </si>
  <si>
    <t>9-12</t>
  </si>
  <si>
    <t>Walton Elementary</t>
  </si>
  <si>
    <t>Washburn Elementary</t>
  </si>
  <si>
    <t>Bangor Public Schools</t>
  </si>
  <si>
    <t>Bangor High School</t>
  </si>
  <si>
    <t>Downeast School</t>
  </si>
  <si>
    <t>PK-3</t>
  </si>
  <si>
    <t>James F Doughty</t>
  </si>
  <si>
    <t>Lewiston Public Schools</t>
  </si>
  <si>
    <t>Connors Elementary School</t>
  </si>
  <si>
    <t>Lewiston High School</t>
  </si>
  <si>
    <t>Lewiston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</si>
</sst>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9">
    <font>
      <sz val="10"/>
      <color theme="1"/>
      <name val="ITCFranklinGothicStd-Book"/>
      <family val="2"/>
    </font>
    <font>
      <sz val="10"/>
      <color theme="1"/>
      <name val="ITCFranklinGothicStd-Book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ITCFranklinGothicStd-Book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65" fontId="2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1" fontId="5" fillId="6" borderId="1" xfId="0" applyNumberFormat="1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wrapText="1"/>
    </xf>
    <xf numFmtId="2" fontId="5" fillId="6" borderId="1" xfId="0" applyNumberFormat="1" applyFont="1" applyFill="1" applyBorder="1" applyAlignment="1">
      <alignment horizontal="center" wrapText="1"/>
    </xf>
    <xf numFmtId="2" fontId="5" fillId="6" borderId="1" xfId="1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wrapText="1"/>
    </xf>
    <xf numFmtId="2" fontId="6" fillId="7" borderId="1" xfId="0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4" fontId="6" fillId="7" borderId="1" xfId="1" applyNumberFormat="1" applyFont="1" applyFill="1" applyBorder="1" applyAlignment="1">
      <alignment horizontal="left" wrapText="1"/>
    </xf>
    <xf numFmtId="164" fontId="6" fillId="7" borderId="1" xfId="0" applyNumberFormat="1" applyFont="1" applyFill="1" applyBorder="1" applyAlignment="1">
      <alignment horizontal="left" wrapText="1"/>
    </xf>
    <xf numFmtId="164" fontId="7" fillId="7" borderId="1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wrapText="1"/>
    </xf>
    <xf numFmtId="2" fontId="0" fillId="0" borderId="1" xfId="0" applyNumberFormat="1" applyFill="1" applyBorder="1" applyAlignment="1">
      <alignment horizontal="left" wrapText="1"/>
    </xf>
    <xf numFmtId="2" fontId="5" fillId="6" borderId="1" xfId="1" applyNumberFormat="1" applyFont="1" applyFill="1" applyBorder="1" applyAlignment="1">
      <alignment horizontal="left" wrapText="1"/>
    </xf>
    <xf numFmtId="0" fontId="6" fillId="0" borderId="1" xfId="0" quotePrefix="1" applyNumberFormat="1" applyFont="1" applyFill="1" applyBorder="1" applyAlignment="1">
      <alignment horizontal="left" wrapText="1"/>
    </xf>
    <xf numFmtId="49" fontId="6" fillId="0" borderId="1" xfId="0" quotePrefix="1" applyNumberFormat="1" applyFont="1" applyFill="1" applyBorder="1" applyAlignment="1">
      <alignment horizontal="left" wrapText="1"/>
    </xf>
    <xf numFmtId="2" fontId="6" fillId="8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1" applyNumberFormat="1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2" fontId="6" fillId="3" borderId="1" xfId="1" applyNumberFormat="1" applyFont="1" applyFill="1" applyBorder="1" applyAlignment="1">
      <alignment horizontal="left"/>
    </xf>
    <xf numFmtId="44" fontId="5" fillId="2" borderId="1" xfId="1" applyFont="1" applyFill="1" applyBorder="1" applyAlignment="1">
      <alignment horizontal="center" wrapText="1"/>
    </xf>
    <xf numFmtId="44" fontId="6" fillId="3" borderId="1" xfId="1" applyFont="1" applyFill="1" applyBorder="1" applyAlignment="1">
      <alignment horizontal="left"/>
    </xf>
    <xf numFmtId="44" fontId="0" fillId="0" borderId="0" xfId="1" applyFont="1"/>
    <xf numFmtId="0" fontId="6" fillId="5" borderId="1" xfId="0" applyFont="1" applyFill="1" applyBorder="1" applyAlignment="1">
      <alignment horizontal="left"/>
    </xf>
    <xf numFmtId="44" fontId="6" fillId="7" borderId="1" xfId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0" fontId="6" fillId="5" borderId="1" xfId="0" quotePrefix="1" applyFont="1" applyFill="1" applyBorder="1" applyAlignment="1">
      <alignment horizontal="left" wrapText="1"/>
    </xf>
    <xf numFmtId="2" fontId="6" fillId="9" borderId="1" xfId="1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C1A0-521E-954D-8A32-A7B9266E740F}">
  <dimension ref="A1:S94"/>
  <sheetViews>
    <sheetView tabSelected="1" zoomScale="120" zoomScaleNormal="120" workbookViewId="0">
      <selection activeCell="B7" sqref="B7"/>
    </sheetView>
  </sheetViews>
  <sheetFormatPr defaultColWidth="10.81640625" defaultRowHeight="18.75" customHeight="1"/>
  <cols>
    <col min="1" max="1" width="18.26953125" style="9" bestFit="1" customWidth="1"/>
    <col min="2" max="2" width="40" style="5" bestFit="1" customWidth="1"/>
    <col min="3" max="3" width="41.453125" style="5" bestFit="1" customWidth="1"/>
    <col min="4" max="4" width="15.1796875" style="10" customWidth="1"/>
    <col min="5" max="5" width="14.453125" style="30" customWidth="1"/>
    <col min="6" max="6" width="14.81640625" style="30" customWidth="1"/>
    <col min="7" max="7" width="18.54296875" style="30" customWidth="1"/>
    <col min="8" max="9" width="16.54296875" style="30" customWidth="1"/>
    <col min="10" max="10" width="17.7265625" style="30" customWidth="1"/>
    <col min="11" max="11" width="13.54296875" style="5" customWidth="1"/>
    <col min="12" max="12" width="13.81640625" style="39" customWidth="1"/>
    <col min="13" max="13" width="14.81640625" style="39" bestFit="1" customWidth="1"/>
    <col min="14" max="14" width="14" style="5" bestFit="1" customWidth="1"/>
    <col min="15" max="15" width="18" style="39" bestFit="1" customWidth="1"/>
    <col min="16" max="16" width="17.81640625" style="39" bestFit="1" customWidth="1"/>
    <col min="17" max="17" width="17.81640625" style="5" bestFit="1" customWidth="1"/>
    <col min="18" max="18" width="16.7265625" style="5" bestFit="1" customWidth="1"/>
    <col min="19" max="16384" width="10.81640625" style="5"/>
  </cols>
  <sheetData>
    <row r="1" spans="1:18" ht="101.25" customHeight="1">
      <c r="A1" s="11" t="s">
        <v>0</v>
      </c>
      <c r="B1" s="12" t="s">
        <v>1</v>
      </c>
      <c r="C1" s="12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3" t="s">
        <v>10</v>
      </c>
      <c r="L1" s="37" t="s">
        <v>11</v>
      </c>
      <c r="M1" s="37" t="s">
        <v>12</v>
      </c>
      <c r="N1" s="15" t="s">
        <v>13</v>
      </c>
      <c r="O1" s="40" t="s">
        <v>14</v>
      </c>
      <c r="P1" s="40" t="s">
        <v>15</v>
      </c>
      <c r="Q1" s="16" t="s">
        <v>16</v>
      </c>
      <c r="R1" s="12" t="s">
        <v>17</v>
      </c>
    </row>
    <row r="2" spans="1:18" ht="18.75" customHeight="1">
      <c r="A2" s="17">
        <v>230264000042</v>
      </c>
      <c r="B2" s="18" t="s">
        <v>18</v>
      </c>
      <c r="C2" s="18" t="s">
        <v>19</v>
      </c>
      <c r="D2" s="19" t="s">
        <v>20</v>
      </c>
      <c r="E2" s="27">
        <v>13287</v>
      </c>
      <c r="F2" s="27">
        <v>18105</v>
      </c>
      <c r="G2" s="34">
        <f>F2-E2</f>
        <v>4818</v>
      </c>
      <c r="H2" s="27">
        <f>23580539/2091</f>
        <v>11277.158775705404</v>
      </c>
      <c r="I2" s="28">
        <f>23902787.5/2123</f>
        <v>11258.967263306642</v>
      </c>
      <c r="J2" s="34">
        <f t="shared" ref="J2:J33" si="0">I2-H2</f>
        <v>-18.191512398761915</v>
      </c>
      <c r="K2" s="20" t="str">
        <f t="shared" ref="K2:K33" si="1">IF(AND(G2&lt;0,J2&gt;G2), "False", "True")</f>
        <v>True</v>
      </c>
      <c r="L2" s="21">
        <f>51.1/338</f>
        <v>0.15118343195266273</v>
      </c>
      <c r="M2" s="21">
        <f>52.1/346</f>
        <v>0.15057803468208092</v>
      </c>
      <c r="N2" s="22">
        <f t="shared" ref="N2:N33" si="2">ROUND(M2,3)-ROUND(L2,3)</f>
        <v>0</v>
      </c>
      <c r="O2" s="21">
        <f>343/2091</f>
        <v>0.1640363462458154</v>
      </c>
      <c r="P2" s="21">
        <f>347/2123</f>
        <v>0.16344795101271786</v>
      </c>
      <c r="Q2" s="22">
        <f t="shared" ref="Q2:Q33" si="3">ROUND(P2,3)-ROUND(O2,3)</f>
        <v>-1.0000000000000009E-3</v>
      </c>
      <c r="R2" s="23" t="str">
        <f t="shared" ref="R2:R32" si="4">IF(AND(N2&lt;0,Q2&gt;N2), "False", "True")</f>
        <v>True</v>
      </c>
    </row>
    <row r="3" spans="1:18" ht="18.75" customHeight="1">
      <c r="A3" s="17">
        <v>230264001002</v>
      </c>
      <c r="B3" s="18" t="s">
        <v>18</v>
      </c>
      <c r="C3" s="18" t="s">
        <v>21</v>
      </c>
      <c r="D3" s="19" t="s">
        <v>22</v>
      </c>
      <c r="E3" s="27">
        <v>15200</v>
      </c>
      <c r="F3" s="27">
        <v>16568</v>
      </c>
      <c r="G3" s="34">
        <f>F3-E3</f>
        <v>1368</v>
      </c>
      <c r="H3" s="28">
        <f>23580539/2091</f>
        <v>11277.158775705404</v>
      </c>
      <c r="I3" s="28">
        <f>23902787.5/2123</f>
        <v>11258.967263306642</v>
      </c>
      <c r="J3" s="34">
        <f t="shared" si="0"/>
        <v>-18.191512398761915</v>
      </c>
      <c r="K3" s="20" t="str">
        <f t="shared" si="1"/>
        <v>True</v>
      </c>
      <c r="L3" s="21">
        <f>60.6/302</f>
        <v>0.20066225165562915</v>
      </c>
      <c r="M3" s="21">
        <f>61.6/308</f>
        <v>0.2</v>
      </c>
      <c r="N3" s="22">
        <f t="shared" si="2"/>
        <v>-1.0000000000000009E-3</v>
      </c>
      <c r="O3" s="21">
        <f>343/2091</f>
        <v>0.1640363462458154</v>
      </c>
      <c r="P3" s="21">
        <f>347/2123</f>
        <v>0.16344795101271786</v>
      </c>
      <c r="Q3" s="22">
        <f t="shared" si="3"/>
        <v>-1.0000000000000009E-3</v>
      </c>
      <c r="R3" s="23" t="str">
        <f t="shared" si="4"/>
        <v>True</v>
      </c>
    </row>
    <row r="4" spans="1:18" ht="18.75" customHeight="1">
      <c r="A4" s="17">
        <v>230606000160</v>
      </c>
      <c r="B4" s="18" t="s">
        <v>23</v>
      </c>
      <c r="C4" s="18" t="s">
        <v>24</v>
      </c>
      <c r="D4" s="19" t="s">
        <v>25</v>
      </c>
      <c r="E4" s="28">
        <v>11467</v>
      </c>
      <c r="F4" s="27">
        <v>11562</v>
      </c>
      <c r="G4" s="34">
        <f>F4-E4</f>
        <v>95</v>
      </c>
      <c r="H4" s="27">
        <v>15005</v>
      </c>
      <c r="I4" s="27">
        <v>15582</v>
      </c>
      <c r="J4" s="34">
        <f t="shared" si="0"/>
        <v>577</v>
      </c>
      <c r="K4" s="20" t="str">
        <f t="shared" si="1"/>
        <v>True</v>
      </c>
      <c r="L4" s="21">
        <f>59/418</f>
        <v>0.14114832535885166</v>
      </c>
      <c r="M4" s="21">
        <f>62/431</f>
        <v>0.14385150812064965</v>
      </c>
      <c r="N4" s="22">
        <f t="shared" si="2"/>
        <v>3.0000000000000027E-3</v>
      </c>
      <c r="O4" s="21">
        <f>359/2754</f>
        <v>0.13035584604212055</v>
      </c>
      <c r="P4" s="21">
        <f>388/2760</f>
        <v>0.14057971014492754</v>
      </c>
      <c r="Q4" s="22">
        <f t="shared" si="3"/>
        <v>1.0999999999999982E-2</v>
      </c>
      <c r="R4" s="23" t="str">
        <f t="shared" si="4"/>
        <v>True</v>
      </c>
    </row>
    <row r="5" spans="1:18" ht="18.75" customHeight="1">
      <c r="A5" s="17">
        <v>230606023126</v>
      </c>
      <c r="B5" s="18" t="s">
        <v>23</v>
      </c>
      <c r="C5" s="18" t="s">
        <v>26</v>
      </c>
      <c r="D5" s="19" t="s">
        <v>25</v>
      </c>
      <c r="E5" s="27">
        <v>11386</v>
      </c>
      <c r="F5" s="27">
        <v>12455</v>
      </c>
      <c r="G5" s="34">
        <f>F5-E5</f>
        <v>1069</v>
      </c>
      <c r="H5" s="27">
        <v>15005</v>
      </c>
      <c r="I5" s="27">
        <v>15582</v>
      </c>
      <c r="J5" s="34">
        <f t="shared" si="0"/>
        <v>577</v>
      </c>
      <c r="K5" s="20" t="str">
        <f t="shared" si="1"/>
        <v>True</v>
      </c>
      <c r="L5" s="21">
        <f>76/511</f>
        <v>0.14872798434442269</v>
      </c>
      <c r="M5" s="21">
        <f>78/492</f>
        <v>0.15853658536585366</v>
      </c>
      <c r="N5" s="22">
        <f t="shared" si="2"/>
        <v>1.0000000000000009E-2</v>
      </c>
      <c r="O5" s="21">
        <f>359/2754</f>
        <v>0.13035584604212055</v>
      </c>
      <c r="P5" s="21">
        <f>388/2760</f>
        <v>0.14057971014492754</v>
      </c>
      <c r="Q5" s="22">
        <f t="shared" si="3"/>
        <v>1.0999999999999982E-2</v>
      </c>
      <c r="R5" s="23" t="str">
        <f t="shared" si="4"/>
        <v>True</v>
      </c>
    </row>
    <row r="6" spans="1:18" ht="18.75" customHeight="1">
      <c r="A6" s="17">
        <v>230993000273</v>
      </c>
      <c r="B6" s="18" t="s">
        <v>27</v>
      </c>
      <c r="C6" s="18" t="s">
        <v>28</v>
      </c>
      <c r="D6" s="19" t="s">
        <v>29</v>
      </c>
      <c r="E6" s="28">
        <v>17550.900000000001</v>
      </c>
      <c r="F6" s="28">
        <v>18684.73</v>
      </c>
      <c r="G6" s="35">
        <v>1133.83</v>
      </c>
      <c r="H6" s="28">
        <v>18720.169999999998</v>
      </c>
      <c r="I6" s="28">
        <v>19861.45</v>
      </c>
      <c r="J6" s="34">
        <f t="shared" si="0"/>
        <v>1141.2800000000025</v>
      </c>
      <c r="K6" s="20" t="str">
        <f t="shared" si="1"/>
        <v>True</v>
      </c>
      <c r="L6" s="21">
        <v>0.14699999999999999</v>
      </c>
      <c r="M6" s="21">
        <v>0.14899999999999999</v>
      </c>
      <c r="N6" s="22">
        <f t="shared" si="2"/>
        <v>2.0000000000000018E-3</v>
      </c>
      <c r="O6" s="21">
        <v>0.19</v>
      </c>
      <c r="P6" s="21">
        <v>0.192</v>
      </c>
      <c r="Q6" s="22">
        <f t="shared" si="3"/>
        <v>2.0000000000000018E-3</v>
      </c>
      <c r="R6" s="23" t="str">
        <f t="shared" si="4"/>
        <v>True</v>
      </c>
    </row>
    <row r="7" spans="1:18" ht="18.75" customHeight="1">
      <c r="A7" s="24">
        <v>230993000274</v>
      </c>
      <c r="B7" s="18" t="s">
        <v>27</v>
      </c>
      <c r="C7" s="18" t="s">
        <v>30</v>
      </c>
      <c r="D7" s="41" t="s">
        <v>31</v>
      </c>
      <c r="E7" s="28">
        <v>19381.240000000002</v>
      </c>
      <c r="F7" s="28">
        <v>20126.2</v>
      </c>
      <c r="G7" s="35">
        <v>744.96</v>
      </c>
      <c r="H7" s="28">
        <v>18720.169999999998</v>
      </c>
      <c r="I7" s="28">
        <v>19861.45</v>
      </c>
      <c r="J7" s="34">
        <f t="shared" si="0"/>
        <v>1141.2800000000025</v>
      </c>
      <c r="K7" s="20" t="str">
        <f t="shared" si="1"/>
        <v>True</v>
      </c>
      <c r="L7" s="21">
        <v>0.159</v>
      </c>
      <c r="M7" s="21">
        <v>0.16200000000000001</v>
      </c>
      <c r="N7" s="22">
        <f t="shared" si="2"/>
        <v>3.0000000000000027E-3</v>
      </c>
      <c r="O7" s="21">
        <v>0.19</v>
      </c>
      <c r="P7" s="21">
        <v>0.192</v>
      </c>
      <c r="Q7" s="22">
        <f t="shared" si="3"/>
        <v>2.0000000000000018E-3</v>
      </c>
      <c r="R7" s="23" t="str">
        <f t="shared" si="4"/>
        <v>True</v>
      </c>
    </row>
    <row r="8" spans="1:18" ht="18.75" customHeight="1">
      <c r="A8" s="17">
        <v>230993000279</v>
      </c>
      <c r="B8" s="18" t="s">
        <v>27</v>
      </c>
      <c r="C8" s="18" t="s">
        <v>32</v>
      </c>
      <c r="D8" s="19" t="s">
        <v>29</v>
      </c>
      <c r="E8" s="28">
        <v>17295.54</v>
      </c>
      <c r="F8" s="28">
        <v>19299.66</v>
      </c>
      <c r="G8" s="35">
        <v>2004.12</v>
      </c>
      <c r="H8" s="28">
        <v>18720.169999999998</v>
      </c>
      <c r="I8" s="28">
        <v>19861.45</v>
      </c>
      <c r="J8" s="34">
        <f t="shared" si="0"/>
        <v>1141.2800000000025</v>
      </c>
      <c r="K8" s="20" t="str">
        <f t="shared" si="1"/>
        <v>True</v>
      </c>
      <c r="L8" s="21">
        <v>0.16500000000000001</v>
      </c>
      <c r="M8" s="21">
        <v>0.16900000000000001</v>
      </c>
      <c r="N8" s="22">
        <f t="shared" si="2"/>
        <v>4.0000000000000036E-3</v>
      </c>
      <c r="O8" s="21">
        <v>0.19</v>
      </c>
      <c r="P8" s="21">
        <v>0.192</v>
      </c>
      <c r="Q8" s="22">
        <f t="shared" si="3"/>
        <v>2.0000000000000018E-3</v>
      </c>
      <c r="R8" s="23" t="str">
        <f t="shared" si="4"/>
        <v>True</v>
      </c>
    </row>
    <row r="9" spans="1:18" ht="18.75" customHeight="1">
      <c r="A9" s="17">
        <v>230993000286</v>
      </c>
      <c r="B9" s="18" t="s">
        <v>27</v>
      </c>
      <c r="C9" s="18" t="s">
        <v>33</v>
      </c>
      <c r="D9" s="19" t="s">
        <v>29</v>
      </c>
      <c r="E9" s="28">
        <v>21884.1</v>
      </c>
      <c r="F9" s="28">
        <v>23993.67</v>
      </c>
      <c r="G9" s="35">
        <v>2109.5700000000002</v>
      </c>
      <c r="H9" s="28">
        <v>18720.169999999998</v>
      </c>
      <c r="I9" s="28">
        <v>19861.45</v>
      </c>
      <c r="J9" s="34">
        <f t="shared" si="0"/>
        <v>1141.2800000000025</v>
      </c>
      <c r="K9" s="20" t="str">
        <f t="shared" si="1"/>
        <v>True</v>
      </c>
      <c r="L9" s="21">
        <v>0.214</v>
      </c>
      <c r="M9" s="21">
        <v>0.22500000000000001</v>
      </c>
      <c r="N9" s="22">
        <f t="shared" si="2"/>
        <v>1.100000000000001E-2</v>
      </c>
      <c r="O9" s="21">
        <v>0.19</v>
      </c>
      <c r="P9" s="21">
        <v>0.192</v>
      </c>
      <c r="Q9" s="22">
        <f t="shared" si="3"/>
        <v>2.0000000000000018E-3</v>
      </c>
      <c r="R9" s="23" t="str">
        <f t="shared" si="4"/>
        <v>True</v>
      </c>
    </row>
    <row r="10" spans="1:18" ht="18.75" customHeight="1">
      <c r="A10" s="17">
        <v>231477200069</v>
      </c>
      <c r="B10" s="18" t="s">
        <v>34</v>
      </c>
      <c r="C10" s="18" t="s">
        <v>35</v>
      </c>
      <c r="D10" s="19" t="s">
        <v>36</v>
      </c>
      <c r="E10" s="28">
        <v>21629</v>
      </c>
      <c r="F10" s="28">
        <v>21629</v>
      </c>
      <c r="G10" s="35">
        <v>0</v>
      </c>
      <c r="H10" s="28">
        <v>18888</v>
      </c>
      <c r="I10" s="28">
        <v>18888</v>
      </c>
      <c r="J10" s="34">
        <f t="shared" si="0"/>
        <v>0</v>
      </c>
      <c r="K10" s="20" t="str">
        <f t="shared" si="1"/>
        <v>True</v>
      </c>
      <c r="L10" s="21">
        <v>0.16</v>
      </c>
      <c r="M10" s="21">
        <v>0.16</v>
      </c>
      <c r="N10" s="22">
        <f t="shared" si="2"/>
        <v>0</v>
      </c>
      <c r="O10" s="21">
        <v>0.18</v>
      </c>
      <c r="P10" s="21">
        <v>0.2</v>
      </c>
      <c r="Q10" s="22">
        <f t="shared" si="3"/>
        <v>2.0000000000000018E-2</v>
      </c>
      <c r="R10" s="23" t="str">
        <f t="shared" si="4"/>
        <v>True</v>
      </c>
    </row>
    <row r="11" spans="1:18" ht="18.75" customHeight="1">
      <c r="A11" s="17">
        <v>231477200067</v>
      </c>
      <c r="B11" s="18" t="s">
        <v>34</v>
      </c>
      <c r="C11" s="18" t="s">
        <v>37</v>
      </c>
      <c r="D11" s="19" t="s">
        <v>38</v>
      </c>
      <c r="E11" s="28">
        <v>20975</v>
      </c>
      <c r="F11" s="28">
        <v>20975</v>
      </c>
      <c r="G11" s="35">
        <v>0</v>
      </c>
      <c r="H11" s="28">
        <v>18888</v>
      </c>
      <c r="I11" s="28">
        <v>18888</v>
      </c>
      <c r="J11" s="34">
        <f t="shared" si="0"/>
        <v>0</v>
      </c>
      <c r="K11" s="20" t="str">
        <f t="shared" si="1"/>
        <v>True</v>
      </c>
      <c r="L11" s="21">
        <v>0.18</v>
      </c>
      <c r="M11" s="21">
        <v>0.22</v>
      </c>
      <c r="N11" s="22">
        <f t="shared" si="2"/>
        <v>4.0000000000000008E-2</v>
      </c>
      <c r="O11" s="21">
        <v>0.18</v>
      </c>
      <c r="P11" s="21">
        <v>0.2</v>
      </c>
      <c r="Q11" s="22">
        <f t="shared" si="3"/>
        <v>2.0000000000000018E-2</v>
      </c>
      <c r="R11" s="23" t="str">
        <f t="shared" si="4"/>
        <v>True</v>
      </c>
    </row>
    <row r="12" spans="1:18" ht="18.75" customHeight="1">
      <c r="A12" s="17">
        <v>231477601008</v>
      </c>
      <c r="B12" s="18" t="s">
        <v>39</v>
      </c>
      <c r="C12" s="18" t="s">
        <v>40</v>
      </c>
      <c r="D12" s="19" t="s">
        <v>31</v>
      </c>
      <c r="E12" s="27">
        <v>17942.05</v>
      </c>
      <c r="F12" s="27">
        <v>18442.189999999999</v>
      </c>
      <c r="G12" s="34">
        <f t="shared" ref="G12:G20" si="5">F12-E12</f>
        <v>500.13999999999942</v>
      </c>
      <c r="H12" s="27">
        <v>12662.85</v>
      </c>
      <c r="I12" s="27">
        <v>11138.17</v>
      </c>
      <c r="J12" s="34">
        <f t="shared" si="0"/>
        <v>-1524.6800000000003</v>
      </c>
      <c r="K12" s="20" t="str">
        <f t="shared" si="1"/>
        <v>True</v>
      </c>
      <c r="L12" s="25">
        <f>20/97</f>
        <v>0.20618556701030927</v>
      </c>
      <c r="M12" s="25">
        <f>26.27/107</f>
        <v>0.24551401869158879</v>
      </c>
      <c r="N12" s="22">
        <f t="shared" si="2"/>
        <v>4.0000000000000008E-2</v>
      </c>
      <c r="O12" s="25">
        <f>406/1901</f>
        <v>0.21357180431351919</v>
      </c>
      <c r="P12" s="25">
        <f>400.7/1898</f>
        <v>0.21111696522655427</v>
      </c>
      <c r="Q12" s="22">
        <f t="shared" si="3"/>
        <v>-3.0000000000000027E-3</v>
      </c>
      <c r="R12" s="23" t="str">
        <f t="shared" si="4"/>
        <v>True</v>
      </c>
    </row>
    <row r="13" spans="1:18" ht="18.75" customHeight="1">
      <c r="A13" s="17">
        <v>231477600131</v>
      </c>
      <c r="B13" s="18" t="s">
        <v>39</v>
      </c>
      <c r="C13" s="18" t="s">
        <v>41</v>
      </c>
      <c r="D13" s="19" t="s">
        <v>29</v>
      </c>
      <c r="E13" s="27">
        <v>20367.57</v>
      </c>
      <c r="F13" s="27">
        <v>27483.7</v>
      </c>
      <c r="G13" s="34">
        <f t="shared" si="5"/>
        <v>7116.130000000001</v>
      </c>
      <c r="H13" s="27">
        <v>12662.85</v>
      </c>
      <c r="I13" s="27">
        <v>11138.17</v>
      </c>
      <c r="J13" s="34">
        <f t="shared" si="0"/>
        <v>-1524.6800000000003</v>
      </c>
      <c r="K13" s="20" t="str">
        <f t="shared" si="1"/>
        <v>True</v>
      </c>
      <c r="L13" s="25">
        <f>20.2/72</f>
        <v>0.28055555555555556</v>
      </c>
      <c r="M13" s="25">
        <f>23.992/72</f>
        <v>0.33322222222222225</v>
      </c>
      <c r="N13" s="22">
        <f t="shared" si="2"/>
        <v>5.1999999999999991E-2</v>
      </c>
      <c r="O13" s="25">
        <f>406.6/1901</f>
        <v>0.21388742766964758</v>
      </c>
      <c r="P13" s="25">
        <f>400.1/1898</f>
        <v>0.21080084299262383</v>
      </c>
      <c r="Q13" s="22">
        <f t="shared" si="3"/>
        <v>-3.0000000000000027E-3</v>
      </c>
      <c r="R13" s="23" t="str">
        <f t="shared" si="4"/>
        <v>True</v>
      </c>
    </row>
    <row r="14" spans="1:18" ht="18.75" customHeight="1">
      <c r="A14" s="17">
        <v>231478900153</v>
      </c>
      <c r="B14" s="18" t="s">
        <v>42</v>
      </c>
      <c r="C14" s="18" t="s">
        <v>43</v>
      </c>
      <c r="D14" s="19" t="s">
        <v>36</v>
      </c>
      <c r="E14" s="28">
        <v>12273.92</v>
      </c>
      <c r="F14" s="28">
        <v>12296.26</v>
      </c>
      <c r="G14" s="34">
        <f t="shared" si="5"/>
        <v>22.340000000000146</v>
      </c>
      <c r="H14" s="28">
        <v>14322.67</v>
      </c>
      <c r="I14" s="28">
        <v>14837.92</v>
      </c>
      <c r="J14" s="34">
        <f t="shared" si="0"/>
        <v>515.25</v>
      </c>
      <c r="K14" s="20" t="str">
        <f t="shared" si="1"/>
        <v>True</v>
      </c>
      <c r="L14" s="21">
        <v>0.21</v>
      </c>
      <c r="M14" s="21">
        <v>0.23</v>
      </c>
      <c r="N14" s="22">
        <f t="shared" si="2"/>
        <v>2.0000000000000018E-2</v>
      </c>
      <c r="O14" s="21">
        <v>0.22</v>
      </c>
      <c r="P14" s="21">
        <v>0.25</v>
      </c>
      <c r="Q14" s="22">
        <f t="shared" si="3"/>
        <v>0.03</v>
      </c>
      <c r="R14" s="23" t="str">
        <f t="shared" si="4"/>
        <v>True</v>
      </c>
    </row>
    <row r="15" spans="1:18" ht="18.75" customHeight="1">
      <c r="A15" s="17">
        <v>231478901044</v>
      </c>
      <c r="B15" s="18" t="s">
        <v>42</v>
      </c>
      <c r="C15" s="18" t="s">
        <v>44</v>
      </c>
      <c r="D15" s="19" t="s">
        <v>38</v>
      </c>
      <c r="E15" s="28">
        <v>13347.36</v>
      </c>
      <c r="F15" s="28">
        <v>14207.1</v>
      </c>
      <c r="G15" s="34">
        <f t="shared" si="5"/>
        <v>859.73999999999978</v>
      </c>
      <c r="H15" s="28">
        <v>14322.67</v>
      </c>
      <c r="I15" s="28">
        <v>14837.92</v>
      </c>
      <c r="J15" s="34">
        <f t="shared" si="0"/>
        <v>515.25</v>
      </c>
      <c r="K15" s="20" t="str">
        <f t="shared" si="1"/>
        <v>True</v>
      </c>
      <c r="L15" s="21">
        <v>0.24</v>
      </c>
      <c r="M15" s="21">
        <v>0.24</v>
      </c>
      <c r="N15" s="22">
        <f t="shared" si="2"/>
        <v>0</v>
      </c>
      <c r="O15" s="21">
        <v>0.22</v>
      </c>
      <c r="P15" s="21">
        <v>0.25</v>
      </c>
      <c r="Q15" s="22">
        <f t="shared" si="3"/>
        <v>0.03</v>
      </c>
      <c r="R15" s="23" t="str">
        <f t="shared" si="4"/>
        <v>True</v>
      </c>
    </row>
    <row r="16" spans="1:18" ht="18.75" customHeight="1">
      <c r="A16" s="26">
        <v>231179000535</v>
      </c>
      <c r="B16" s="18" t="s">
        <v>45</v>
      </c>
      <c r="C16" s="18" t="s">
        <v>46</v>
      </c>
      <c r="D16" s="41" t="s">
        <v>47</v>
      </c>
      <c r="E16" s="28">
        <v>15101.51</v>
      </c>
      <c r="F16" s="28">
        <v>16858.82</v>
      </c>
      <c r="G16" s="34">
        <f t="shared" si="5"/>
        <v>1757.3099999999995</v>
      </c>
      <c r="H16" s="28">
        <v>13887.64</v>
      </c>
      <c r="I16" s="28">
        <v>16924.5</v>
      </c>
      <c r="J16" s="34">
        <f t="shared" si="0"/>
        <v>3036.8600000000006</v>
      </c>
      <c r="K16" s="20" t="str">
        <f t="shared" si="1"/>
        <v>True</v>
      </c>
      <c r="L16" s="21">
        <v>0.19</v>
      </c>
      <c r="M16" s="21">
        <v>0.2</v>
      </c>
      <c r="N16" s="22">
        <f t="shared" si="2"/>
        <v>1.0000000000000009E-2</v>
      </c>
      <c r="O16" s="21">
        <v>0.18</v>
      </c>
      <c r="P16" s="21">
        <v>0.21</v>
      </c>
      <c r="Q16" s="22">
        <f t="shared" si="3"/>
        <v>0.03</v>
      </c>
      <c r="R16" s="23" t="str">
        <f t="shared" si="4"/>
        <v>True</v>
      </c>
    </row>
    <row r="17" spans="1:18" ht="18.75" customHeight="1">
      <c r="A17" s="26">
        <v>231179023123</v>
      </c>
      <c r="B17" s="18" t="s">
        <v>45</v>
      </c>
      <c r="C17" s="18" t="s">
        <v>48</v>
      </c>
      <c r="D17" s="19" t="s">
        <v>29</v>
      </c>
      <c r="E17" s="28">
        <v>13916.44</v>
      </c>
      <c r="F17" s="28">
        <v>16822.82</v>
      </c>
      <c r="G17" s="34">
        <f t="shared" si="5"/>
        <v>2906.3799999999992</v>
      </c>
      <c r="H17" s="28">
        <v>13887.64</v>
      </c>
      <c r="I17" s="28">
        <v>16924.5</v>
      </c>
      <c r="J17" s="34">
        <f t="shared" si="0"/>
        <v>3036.8600000000006</v>
      </c>
      <c r="K17" s="20" t="str">
        <f t="shared" si="1"/>
        <v>True</v>
      </c>
      <c r="L17" s="21">
        <v>0.24</v>
      </c>
      <c r="M17" s="21">
        <v>0.27</v>
      </c>
      <c r="N17" s="22">
        <f t="shared" si="2"/>
        <v>3.0000000000000027E-2</v>
      </c>
      <c r="O17" s="21">
        <v>0.18</v>
      </c>
      <c r="P17" s="21">
        <v>0.21</v>
      </c>
      <c r="Q17" s="22">
        <f t="shared" si="3"/>
        <v>0.03</v>
      </c>
      <c r="R17" s="23" t="str">
        <f t="shared" si="4"/>
        <v>True</v>
      </c>
    </row>
    <row r="18" spans="1:18" ht="18.75" customHeight="1">
      <c r="A18" s="17">
        <v>231480901050</v>
      </c>
      <c r="B18" s="18" t="s">
        <v>49</v>
      </c>
      <c r="C18" s="18" t="s">
        <v>50</v>
      </c>
      <c r="D18" s="42" t="s">
        <v>38</v>
      </c>
      <c r="E18" s="28">
        <v>5410.01</v>
      </c>
      <c r="F18" s="28">
        <v>7904</v>
      </c>
      <c r="G18" s="34">
        <f t="shared" si="5"/>
        <v>2493.9899999999998</v>
      </c>
      <c r="H18" s="28">
        <v>13683.26</v>
      </c>
      <c r="I18" s="28">
        <v>14483</v>
      </c>
      <c r="J18" s="34">
        <f t="shared" si="0"/>
        <v>799.73999999999978</v>
      </c>
      <c r="K18" s="20" t="str">
        <f t="shared" si="1"/>
        <v>True</v>
      </c>
      <c r="L18" s="21">
        <v>0.22</v>
      </c>
      <c r="M18" s="21">
        <v>0.25</v>
      </c>
      <c r="N18" s="22">
        <f t="shared" si="2"/>
        <v>0.03</v>
      </c>
      <c r="O18" s="21">
        <v>0.21</v>
      </c>
      <c r="P18" s="21">
        <v>0.22</v>
      </c>
      <c r="Q18" s="22">
        <f t="shared" si="3"/>
        <v>1.0000000000000009E-2</v>
      </c>
      <c r="R18" s="23" t="str">
        <f t="shared" si="4"/>
        <v>True</v>
      </c>
    </row>
    <row r="19" spans="1:18" ht="18.75" customHeight="1">
      <c r="A19" s="17">
        <v>231480900163</v>
      </c>
      <c r="B19" s="18" t="s">
        <v>49</v>
      </c>
      <c r="C19" s="18" t="s">
        <v>51</v>
      </c>
      <c r="D19" s="19" t="s">
        <v>29</v>
      </c>
      <c r="E19" s="28">
        <v>5551.16</v>
      </c>
      <c r="F19" s="28">
        <v>8876</v>
      </c>
      <c r="G19" s="34">
        <f t="shared" si="5"/>
        <v>3324.84</v>
      </c>
      <c r="H19" s="28">
        <v>13683.26</v>
      </c>
      <c r="I19" s="28">
        <v>14483</v>
      </c>
      <c r="J19" s="34">
        <f t="shared" si="0"/>
        <v>799.73999999999978</v>
      </c>
      <c r="K19" s="20" t="str">
        <f t="shared" si="1"/>
        <v>True</v>
      </c>
      <c r="L19" s="21">
        <v>0.22</v>
      </c>
      <c r="M19" s="21">
        <v>0.24</v>
      </c>
      <c r="N19" s="22">
        <f t="shared" si="2"/>
        <v>1.999999999999999E-2</v>
      </c>
      <c r="O19" s="21">
        <v>0.21</v>
      </c>
      <c r="P19" s="21">
        <v>0.22</v>
      </c>
      <c r="Q19" s="22">
        <f t="shared" si="3"/>
        <v>1.0000000000000009E-2</v>
      </c>
      <c r="R19" s="23" t="str">
        <f t="shared" si="4"/>
        <v>True</v>
      </c>
    </row>
    <row r="20" spans="1:18" ht="18.75" customHeight="1">
      <c r="A20" s="17">
        <v>231479500502</v>
      </c>
      <c r="B20" s="18" t="s">
        <v>52</v>
      </c>
      <c r="C20" s="18" t="s">
        <v>53</v>
      </c>
      <c r="D20" s="19" t="s">
        <v>54</v>
      </c>
      <c r="E20" s="29">
        <v>17180.400000000001</v>
      </c>
      <c r="F20" s="29">
        <v>17315.64</v>
      </c>
      <c r="G20" s="34">
        <f t="shared" si="5"/>
        <v>135.23999999999796</v>
      </c>
      <c r="H20" s="29">
        <v>124778.37</v>
      </c>
      <c r="I20" s="29">
        <v>126351.48</v>
      </c>
      <c r="J20" s="34">
        <f t="shared" si="0"/>
        <v>1573.1100000000006</v>
      </c>
      <c r="K20" s="20" t="str">
        <f t="shared" si="1"/>
        <v>True</v>
      </c>
      <c r="L20" s="38">
        <v>0.2</v>
      </c>
      <c r="M20" s="38">
        <v>0.22</v>
      </c>
      <c r="N20" s="22">
        <f t="shared" si="2"/>
        <v>1.999999999999999E-2</v>
      </c>
      <c r="O20" s="38">
        <v>0.22</v>
      </c>
      <c r="P20" s="38">
        <v>0.22</v>
      </c>
      <c r="Q20" s="22">
        <f t="shared" si="3"/>
        <v>0</v>
      </c>
      <c r="R20" s="23" t="str">
        <f t="shared" si="4"/>
        <v>True</v>
      </c>
    </row>
    <row r="21" spans="1:18" ht="18.75" customHeight="1">
      <c r="A21" s="17">
        <v>231479500823</v>
      </c>
      <c r="B21" s="18" t="s">
        <v>52</v>
      </c>
      <c r="C21" s="18" t="s">
        <v>55</v>
      </c>
      <c r="D21" s="19" t="s">
        <v>56</v>
      </c>
      <c r="E21" s="29">
        <v>18332.55</v>
      </c>
      <c r="F21" s="29">
        <v>16856.48</v>
      </c>
      <c r="G21" s="36">
        <v>1476.07</v>
      </c>
      <c r="H21" s="29">
        <v>124778.37</v>
      </c>
      <c r="I21" s="29">
        <v>126351.48</v>
      </c>
      <c r="J21" s="34">
        <f t="shared" si="0"/>
        <v>1573.1100000000006</v>
      </c>
      <c r="K21" s="20" t="str">
        <f t="shared" si="1"/>
        <v>True</v>
      </c>
      <c r="L21" s="38">
        <v>0.23</v>
      </c>
      <c r="M21" s="38">
        <v>0.26</v>
      </c>
      <c r="N21" s="22">
        <f t="shared" si="2"/>
        <v>0.03</v>
      </c>
      <c r="O21" s="38">
        <v>0.22</v>
      </c>
      <c r="P21" s="38">
        <v>0.22</v>
      </c>
      <c r="Q21" s="22">
        <f t="shared" si="3"/>
        <v>0</v>
      </c>
      <c r="R21" s="23" t="str">
        <f t="shared" si="4"/>
        <v>True</v>
      </c>
    </row>
    <row r="22" spans="1:18" ht="18.75" customHeight="1">
      <c r="A22" s="17">
        <v>231478700530</v>
      </c>
      <c r="B22" s="18" t="s">
        <v>57</v>
      </c>
      <c r="C22" s="18" t="s">
        <v>58</v>
      </c>
      <c r="D22" s="19" t="s">
        <v>29</v>
      </c>
      <c r="E22" s="27">
        <v>24374.6</v>
      </c>
      <c r="F22" s="27">
        <v>26721.38</v>
      </c>
      <c r="G22" s="34">
        <f t="shared" ref="G22:G55" si="6">F22-E22</f>
        <v>2346.7800000000025</v>
      </c>
      <c r="H22" s="27">
        <v>22780</v>
      </c>
      <c r="I22" s="27">
        <v>23272.58</v>
      </c>
      <c r="J22" s="34">
        <f t="shared" si="0"/>
        <v>492.58000000000175</v>
      </c>
      <c r="K22" s="20" t="str">
        <f t="shared" si="1"/>
        <v>True</v>
      </c>
      <c r="L22" s="21">
        <f>69.68/276</f>
        <v>0.25246376811594207</v>
      </c>
      <c r="M22" s="21">
        <f>81.09/263</f>
        <v>0.30832699619771864</v>
      </c>
      <c r="N22" s="22">
        <f t="shared" si="2"/>
        <v>5.5999999999999994E-2</v>
      </c>
      <c r="O22" s="21">
        <f>331.94/1536</f>
        <v>0.21610677083333332</v>
      </c>
      <c r="P22" s="21">
        <f>341.6/1530</f>
        <v>0.22326797385620917</v>
      </c>
      <c r="Q22" s="22">
        <f t="shared" si="3"/>
        <v>7.0000000000000062E-3</v>
      </c>
      <c r="R22" s="23" t="str">
        <f t="shared" si="4"/>
        <v>True</v>
      </c>
    </row>
    <row r="23" spans="1:18" ht="18.75" customHeight="1">
      <c r="A23" s="17">
        <v>231478723157</v>
      </c>
      <c r="B23" s="18" t="s">
        <v>57</v>
      </c>
      <c r="C23" s="18" t="s">
        <v>59</v>
      </c>
      <c r="D23" s="19" t="s">
        <v>25</v>
      </c>
      <c r="E23" s="27">
        <v>23070.44</v>
      </c>
      <c r="F23" s="27">
        <v>27040.28</v>
      </c>
      <c r="G23" s="34">
        <f t="shared" si="6"/>
        <v>3969.84</v>
      </c>
      <c r="H23" s="27">
        <v>22780</v>
      </c>
      <c r="I23" s="27">
        <v>23272.58</v>
      </c>
      <c r="J23" s="34">
        <f t="shared" si="0"/>
        <v>492.58000000000175</v>
      </c>
      <c r="K23" s="20" t="str">
        <f t="shared" si="1"/>
        <v>True</v>
      </c>
      <c r="L23" s="21">
        <f>50.38/162</f>
        <v>0.31098765432098768</v>
      </c>
      <c r="M23" s="21">
        <f>49.38/153</f>
        <v>0.32274509803921569</v>
      </c>
      <c r="N23" s="22">
        <f t="shared" si="2"/>
        <v>1.2000000000000011E-2</v>
      </c>
      <c r="O23" s="21">
        <f>331/1536</f>
        <v>0.21549479166666666</v>
      </c>
      <c r="P23" s="21">
        <f>341/1530</f>
        <v>0.22287581699346407</v>
      </c>
      <c r="Q23" s="22">
        <f t="shared" si="3"/>
        <v>8.0000000000000071E-3</v>
      </c>
      <c r="R23" s="23" t="str">
        <f t="shared" si="4"/>
        <v>True</v>
      </c>
    </row>
    <row r="24" spans="1:18" ht="18.75" customHeight="1">
      <c r="A24" s="26">
        <v>231479301034</v>
      </c>
      <c r="B24" s="18" t="s">
        <v>60</v>
      </c>
      <c r="C24" s="18" t="s">
        <v>61</v>
      </c>
      <c r="D24" s="19" t="s">
        <v>62</v>
      </c>
      <c r="E24" s="27">
        <v>12427.11</v>
      </c>
      <c r="F24" s="27">
        <v>13707.17</v>
      </c>
      <c r="G24" s="34">
        <f t="shared" si="6"/>
        <v>1280.0599999999995</v>
      </c>
      <c r="H24" s="27">
        <v>15121.99</v>
      </c>
      <c r="I24" s="27">
        <v>17011.560000000001</v>
      </c>
      <c r="J24" s="34">
        <f t="shared" si="0"/>
        <v>1889.5700000000015</v>
      </c>
      <c r="K24" s="20" t="str">
        <f t="shared" si="1"/>
        <v>True</v>
      </c>
      <c r="L24" s="25">
        <f>126.27/767</f>
        <v>0.16462842242503259</v>
      </c>
      <c r="M24" s="25">
        <f>130.92/761</f>
        <v>0.17203679369250985</v>
      </c>
      <c r="N24" s="22">
        <f t="shared" si="2"/>
        <v>6.9999999999999785E-3</v>
      </c>
      <c r="O24" s="25">
        <f>536.9/3127</f>
        <v>0.17169811320754716</v>
      </c>
      <c r="P24" s="25">
        <f>576.89/3133</f>
        <v>0.18413341844877115</v>
      </c>
      <c r="Q24" s="22">
        <f t="shared" si="3"/>
        <v>1.2000000000000011E-2</v>
      </c>
      <c r="R24" s="23" t="str">
        <f t="shared" si="4"/>
        <v>True</v>
      </c>
    </row>
    <row r="25" spans="1:18" ht="18.75" customHeight="1">
      <c r="A25" s="17">
        <v>231479300292</v>
      </c>
      <c r="B25" s="18" t="s">
        <v>60</v>
      </c>
      <c r="C25" s="18" t="s">
        <v>63</v>
      </c>
      <c r="D25" s="19" t="s">
        <v>54</v>
      </c>
      <c r="E25" s="27">
        <v>27678.880000000001</v>
      </c>
      <c r="F25" s="27">
        <v>29149.91</v>
      </c>
      <c r="G25" s="34">
        <f t="shared" si="6"/>
        <v>1471.0299999999988</v>
      </c>
      <c r="H25" s="27">
        <v>15121.99</v>
      </c>
      <c r="I25" s="27">
        <v>17011.560000000001</v>
      </c>
      <c r="J25" s="34">
        <f t="shared" si="0"/>
        <v>1889.5700000000015</v>
      </c>
      <c r="K25" s="20" t="str">
        <f t="shared" si="1"/>
        <v>True</v>
      </c>
      <c r="L25" s="25">
        <f>47.27/161</f>
        <v>0.29360248447204973</v>
      </c>
      <c r="M25" s="25">
        <f>56.82/174</f>
        <v>0.32655172413793104</v>
      </c>
      <c r="N25" s="22">
        <f t="shared" si="2"/>
        <v>3.3000000000000029E-2</v>
      </c>
      <c r="O25" s="25">
        <f>536.9/3127</f>
        <v>0.17169811320754716</v>
      </c>
      <c r="P25" s="25">
        <f>576.89/3133</f>
        <v>0.18413341844877115</v>
      </c>
      <c r="Q25" s="22">
        <f t="shared" si="3"/>
        <v>1.2000000000000011E-2</v>
      </c>
      <c r="R25" s="23" t="str">
        <f t="shared" si="4"/>
        <v>True</v>
      </c>
    </row>
    <row r="26" spans="1:18" ht="18.75" customHeight="1">
      <c r="A26" s="17">
        <v>231071001019</v>
      </c>
      <c r="B26" s="18" t="s">
        <v>64</v>
      </c>
      <c r="C26" s="18" t="s">
        <v>65</v>
      </c>
      <c r="D26" s="19" t="s">
        <v>54</v>
      </c>
      <c r="E26" s="27">
        <v>12886.09</v>
      </c>
      <c r="F26" s="27">
        <v>15157.54</v>
      </c>
      <c r="G26" s="34">
        <f t="shared" si="6"/>
        <v>2271.4500000000007</v>
      </c>
      <c r="H26" s="27">
        <v>12218.45</v>
      </c>
      <c r="I26" s="27">
        <v>14984.92</v>
      </c>
      <c r="J26" s="34">
        <f t="shared" si="0"/>
        <v>2766.4699999999993</v>
      </c>
      <c r="K26" s="20" t="str">
        <f t="shared" si="1"/>
        <v>True</v>
      </c>
      <c r="L26" s="21">
        <f>62.5/520</f>
        <v>0.1201923076923077</v>
      </c>
      <c r="M26" s="21">
        <f>67.4/492</f>
        <v>0.13699186991869919</v>
      </c>
      <c r="N26" s="22">
        <f t="shared" si="2"/>
        <v>1.7000000000000015E-2</v>
      </c>
      <c r="O26" s="21">
        <f>257.41/1807</f>
        <v>0.14245157719977866</v>
      </c>
      <c r="P26" s="21">
        <f>280.4/1824</f>
        <v>0.15372807017543857</v>
      </c>
      <c r="Q26" s="22">
        <f t="shared" si="3"/>
        <v>1.2000000000000011E-2</v>
      </c>
      <c r="R26" s="23" t="str">
        <f t="shared" si="4"/>
        <v>True</v>
      </c>
    </row>
    <row r="27" spans="1:18" ht="18.75" customHeight="1">
      <c r="A27" s="17">
        <v>231071000348</v>
      </c>
      <c r="B27" s="18" t="s">
        <v>64</v>
      </c>
      <c r="C27" s="18" t="s">
        <v>66</v>
      </c>
      <c r="D27" s="19" t="s">
        <v>67</v>
      </c>
      <c r="E27" s="27">
        <v>15348.69</v>
      </c>
      <c r="F27" s="27">
        <v>17685.64</v>
      </c>
      <c r="G27" s="34">
        <f t="shared" si="6"/>
        <v>2336.9499999999989</v>
      </c>
      <c r="H27" s="27">
        <v>12218.45</v>
      </c>
      <c r="I27" s="27">
        <v>14984.92</v>
      </c>
      <c r="J27" s="34">
        <f t="shared" si="0"/>
        <v>2766.4699999999993</v>
      </c>
      <c r="K27" s="20" t="str">
        <f t="shared" si="1"/>
        <v>True</v>
      </c>
      <c r="L27" s="21">
        <f>43.33/231</f>
        <v>0.18757575757575756</v>
      </c>
      <c r="M27" s="21">
        <f>43.7/210</f>
        <v>0.20809523809523811</v>
      </c>
      <c r="N27" s="22">
        <f t="shared" si="2"/>
        <v>1.999999999999999E-2</v>
      </c>
      <c r="O27" s="21">
        <f>257.41/1807</f>
        <v>0.14245157719977866</v>
      </c>
      <c r="P27" s="21">
        <f>280.4/1824</f>
        <v>0.15372807017543857</v>
      </c>
      <c r="Q27" s="22">
        <f t="shared" si="3"/>
        <v>1.2000000000000011E-2</v>
      </c>
      <c r="R27" s="23" t="str">
        <f t="shared" si="4"/>
        <v>True</v>
      </c>
    </row>
    <row r="28" spans="1:18" ht="18.75" customHeight="1">
      <c r="A28" s="17">
        <v>231477500438</v>
      </c>
      <c r="B28" s="18" t="s">
        <v>68</v>
      </c>
      <c r="C28" s="18" t="s">
        <v>69</v>
      </c>
      <c r="D28" s="19" t="s">
        <v>70</v>
      </c>
      <c r="E28" s="27">
        <v>14555.78</v>
      </c>
      <c r="F28" s="27">
        <v>15427.38</v>
      </c>
      <c r="G28" s="34">
        <f t="shared" si="6"/>
        <v>871.59999999999854</v>
      </c>
      <c r="H28" s="27">
        <v>15907.44</v>
      </c>
      <c r="I28" s="27">
        <v>15997.22</v>
      </c>
      <c r="J28" s="34">
        <f t="shared" si="0"/>
        <v>89.779999999998836</v>
      </c>
      <c r="K28" s="20" t="str">
        <f t="shared" si="1"/>
        <v>True</v>
      </c>
      <c r="L28" s="21">
        <f>49.45/291</f>
        <v>0.16993127147766324</v>
      </c>
      <c r="M28" s="21">
        <f>47.65/281</f>
        <v>0.16957295373665479</v>
      </c>
      <c r="N28" s="22">
        <f t="shared" si="2"/>
        <v>0</v>
      </c>
      <c r="O28" s="21">
        <f>313.4/1701</f>
        <v>0.1842445620223398</v>
      </c>
      <c r="P28" s="21">
        <f>313.07/1720</f>
        <v>0.18201744186046512</v>
      </c>
      <c r="Q28" s="22">
        <f t="shared" si="3"/>
        <v>-2.0000000000000018E-3</v>
      </c>
      <c r="R28" s="23" t="str">
        <f t="shared" si="4"/>
        <v>True</v>
      </c>
    </row>
    <row r="29" spans="1:18" ht="18.75" customHeight="1">
      <c r="A29" s="17">
        <v>231477500218</v>
      </c>
      <c r="B29" s="18" t="s">
        <v>68</v>
      </c>
      <c r="C29" s="18" t="s">
        <v>71</v>
      </c>
      <c r="D29" s="19" t="s">
        <v>20</v>
      </c>
      <c r="E29" s="27">
        <v>16717.05</v>
      </c>
      <c r="F29" s="27">
        <v>17036.89</v>
      </c>
      <c r="G29" s="34">
        <f t="shared" si="6"/>
        <v>319.84000000000015</v>
      </c>
      <c r="H29" s="27">
        <v>15907.44</v>
      </c>
      <c r="I29" s="27">
        <v>15997.22</v>
      </c>
      <c r="J29" s="34">
        <f t="shared" si="0"/>
        <v>89.779999999998836</v>
      </c>
      <c r="K29" s="20" t="str">
        <f t="shared" si="1"/>
        <v>True</v>
      </c>
      <c r="L29" s="21">
        <f>53.7/251</f>
        <v>0.21394422310756972</v>
      </c>
      <c r="M29" s="21">
        <f>57.9/245</f>
        <v>0.2363265306122449</v>
      </c>
      <c r="N29" s="22">
        <f t="shared" si="2"/>
        <v>2.1999999999999992E-2</v>
      </c>
      <c r="O29" s="21">
        <f>313.4/1701</f>
        <v>0.1842445620223398</v>
      </c>
      <c r="P29" s="21">
        <f>313.07/1720</f>
        <v>0.18201744186046512</v>
      </c>
      <c r="Q29" s="22">
        <f t="shared" si="3"/>
        <v>-2.0000000000000018E-3</v>
      </c>
      <c r="R29" s="23" t="str">
        <f t="shared" si="4"/>
        <v>True</v>
      </c>
    </row>
    <row r="30" spans="1:18" ht="18.75" customHeight="1">
      <c r="A30" s="17">
        <v>231077000354</v>
      </c>
      <c r="B30" s="18" t="s">
        <v>72</v>
      </c>
      <c r="C30" s="18" t="s">
        <v>73</v>
      </c>
      <c r="D30" s="19" t="s">
        <v>20</v>
      </c>
      <c r="E30" s="27">
        <v>13142.21</v>
      </c>
      <c r="F30" s="27">
        <v>13544.9</v>
      </c>
      <c r="G30" s="34">
        <f t="shared" si="6"/>
        <v>402.69000000000051</v>
      </c>
      <c r="H30" s="27">
        <v>2328.2399999999998</v>
      </c>
      <c r="I30" s="27">
        <v>2353.7399999999998</v>
      </c>
      <c r="J30" s="34">
        <f t="shared" si="0"/>
        <v>25.5</v>
      </c>
      <c r="K30" s="20" t="str">
        <f t="shared" si="1"/>
        <v>True</v>
      </c>
      <c r="L30" s="21">
        <f>20/123</f>
        <v>0.16260162601626016</v>
      </c>
      <c r="M30" s="21">
        <f>21.2/128</f>
        <v>0.16562499999999999</v>
      </c>
      <c r="N30" s="22">
        <f t="shared" si="2"/>
        <v>3.0000000000000027E-3</v>
      </c>
      <c r="O30" s="21">
        <f>531.4/3253</f>
        <v>0.16335690132185673</v>
      </c>
      <c r="P30" s="21">
        <f>540.6/3195</f>
        <v>0.1692018779342723</v>
      </c>
      <c r="Q30" s="22">
        <f t="shared" si="3"/>
        <v>6.0000000000000053E-3</v>
      </c>
      <c r="R30" s="23" t="str">
        <f t="shared" si="4"/>
        <v>True</v>
      </c>
    </row>
    <row r="31" spans="1:18" ht="18.75" customHeight="1">
      <c r="A31" s="17">
        <v>231077000362</v>
      </c>
      <c r="B31" s="18" t="s">
        <v>72</v>
      </c>
      <c r="C31" s="18" t="s">
        <v>74</v>
      </c>
      <c r="D31" s="19" t="s">
        <v>70</v>
      </c>
      <c r="E31" s="27">
        <v>12635</v>
      </c>
      <c r="F31" s="27">
        <v>14061.22</v>
      </c>
      <c r="G31" s="34">
        <f t="shared" si="6"/>
        <v>1426.2199999999993</v>
      </c>
      <c r="H31" s="27">
        <v>2328.2399999999998</v>
      </c>
      <c r="I31" s="27">
        <v>2353.7399999999998</v>
      </c>
      <c r="J31" s="34">
        <f t="shared" si="0"/>
        <v>25.5</v>
      </c>
      <c r="K31" s="20" t="str">
        <f t="shared" si="1"/>
        <v>True</v>
      </c>
      <c r="L31" s="21">
        <f>57.3/338</f>
        <v>0.16952662721893491</v>
      </c>
      <c r="M31" s="21">
        <f>59/345</f>
        <v>0.17101449275362318</v>
      </c>
      <c r="N31" s="22">
        <f t="shared" si="2"/>
        <v>1.0000000000000009E-3</v>
      </c>
      <c r="O31" s="21">
        <f>531.4/3253</f>
        <v>0.16335690132185673</v>
      </c>
      <c r="P31" s="21">
        <f>540.6/3195</f>
        <v>0.1692018779342723</v>
      </c>
      <c r="Q31" s="22">
        <f t="shared" si="3"/>
        <v>6.0000000000000053E-3</v>
      </c>
      <c r="R31" s="23" t="str">
        <f t="shared" si="4"/>
        <v>True</v>
      </c>
    </row>
    <row r="32" spans="1:18" ht="18.75" customHeight="1">
      <c r="A32" s="17">
        <v>231077000925</v>
      </c>
      <c r="B32" s="18" t="s">
        <v>72</v>
      </c>
      <c r="C32" s="18" t="s">
        <v>75</v>
      </c>
      <c r="D32" s="19" t="s">
        <v>20</v>
      </c>
      <c r="E32" s="27">
        <v>12702.86</v>
      </c>
      <c r="F32" s="27">
        <v>13101.04</v>
      </c>
      <c r="G32" s="34">
        <f t="shared" si="6"/>
        <v>398.18000000000029</v>
      </c>
      <c r="H32" s="27">
        <v>2328.2399999999998</v>
      </c>
      <c r="I32" s="27">
        <v>2353.7399999999998</v>
      </c>
      <c r="J32" s="34">
        <f t="shared" si="0"/>
        <v>25.5</v>
      </c>
      <c r="K32" s="20" t="str">
        <f t="shared" si="1"/>
        <v>True</v>
      </c>
      <c r="L32" s="21">
        <f>70.5/415</f>
        <v>0.16987951807228915</v>
      </c>
      <c r="M32" s="21">
        <f>69.5/403</f>
        <v>0.17245657568238212</v>
      </c>
      <c r="N32" s="22">
        <f t="shared" si="2"/>
        <v>1.999999999999974E-3</v>
      </c>
      <c r="O32" s="21">
        <f>531.4/3253</f>
        <v>0.16335690132185673</v>
      </c>
      <c r="P32" s="21">
        <f>540.6/3195</f>
        <v>0.1692018779342723</v>
      </c>
      <c r="Q32" s="22">
        <f t="shared" si="3"/>
        <v>6.0000000000000053E-3</v>
      </c>
      <c r="R32" s="23" t="str">
        <f t="shared" si="4"/>
        <v>True</v>
      </c>
    </row>
    <row r="33" spans="1:18" ht="18.75" customHeight="1">
      <c r="A33" s="17">
        <v>231477900704</v>
      </c>
      <c r="B33" s="18" t="s">
        <v>76</v>
      </c>
      <c r="C33" s="18" t="s">
        <v>77</v>
      </c>
      <c r="D33" s="19" t="s">
        <v>38</v>
      </c>
      <c r="E33" s="27">
        <v>15588.65</v>
      </c>
      <c r="F33" s="27">
        <v>15653.87</v>
      </c>
      <c r="G33" s="34">
        <f t="shared" si="6"/>
        <v>65.220000000001164</v>
      </c>
      <c r="H33" s="27">
        <v>13358.98</v>
      </c>
      <c r="I33" s="27">
        <v>13716.81</v>
      </c>
      <c r="J33" s="34">
        <f t="shared" si="0"/>
        <v>357.82999999999993</v>
      </c>
      <c r="K33" s="20" t="str">
        <f t="shared" si="1"/>
        <v>True</v>
      </c>
      <c r="L33" s="21">
        <f>40.625/216</f>
        <v>0.18807870370370369</v>
      </c>
      <c r="M33" s="21">
        <f>42.25/226</f>
        <v>0.18694690265486727</v>
      </c>
      <c r="N33" s="22">
        <f t="shared" si="2"/>
        <v>-1.0000000000000009E-3</v>
      </c>
      <c r="O33" s="21">
        <f>498/2774</f>
        <v>0.1795241528478731</v>
      </c>
      <c r="P33" s="21">
        <f>509.5/2771</f>
        <v>0.183868639480332</v>
      </c>
      <c r="Q33" s="22">
        <f t="shared" si="3"/>
        <v>4.0000000000000036E-3</v>
      </c>
      <c r="R33" s="63" t="s">
        <v>78</v>
      </c>
    </row>
    <row r="34" spans="1:18" ht="18.75" customHeight="1">
      <c r="A34" s="17">
        <v>231477900121</v>
      </c>
      <c r="B34" s="18" t="s">
        <v>76</v>
      </c>
      <c r="C34" s="18" t="s">
        <v>79</v>
      </c>
      <c r="D34" s="19" t="s">
        <v>54</v>
      </c>
      <c r="E34" s="27">
        <v>16401.29</v>
      </c>
      <c r="F34" s="27">
        <v>17215.54</v>
      </c>
      <c r="G34" s="34">
        <f t="shared" si="6"/>
        <v>814.25</v>
      </c>
      <c r="H34" s="27">
        <v>13358.98</v>
      </c>
      <c r="I34" s="27">
        <v>13716.81</v>
      </c>
      <c r="J34" s="34">
        <f t="shared" ref="J34:J65" si="7">I34-H34</f>
        <v>357.82999999999993</v>
      </c>
      <c r="K34" s="20" t="str">
        <f t="shared" ref="K34:K65" si="8">IF(AND(G34&lt;0,J34&gt;G34), "False", "True")</f>
        <v>True</v>
      </c>
      <c r="L34" s="21">
        <f>40.925/217</f>
        <v>0.18859447004608293</v>
      </c>
      <c r="M34" s="21">
        <f>37.55/199</f>
        <v>0.18869346733668341</v>
      </c>
      <c r="N34" s="22">
        <f t="shared" ref="N34:N65" si="9">ROUND(M34,3)-ROUND(L34,3)</f>
        <v>0</v>
      </c>
      <c r="O34" s="21">
        <f>498/2774</f>
        <v>0.1795241528478731</v>
      </c>
      <c r="P34" s="21">
        <f>509.5/2771</f>
        <v>0.183868639480332</v>
      </c>
      <c r="Q34" s="22">
        <f t="shared" ref="Q34:Q65" si="10">ROUND(P34,3)-ROUND(O34,3)</f>
        <v>4.0000000000000036E-3</v>
      </c>
      <c r="R34" s="23" t="str">
        <f t="shared" ref="R34:R40" si="11">IF(AND(N34&lt;0,Q34&gt;N34), "False", "True")</f>
        <v>True</v>
      </c>
    </row>
    <row r="35" spans="1:18" ht="18.75" customHeight="1">
      <c r="A35" s="17">
        <v>231477300800</v>
      </c>
      <c r="B35" s="18" t="s">
        <v>80</v>
      </c>
      <c r="C35" s="18" t="s">
        <v>81</v>
      </c>
      <c r="D35" s="19" t="s">
        <v>31</v>
      </c>
      <c r="E35" s="27">
        <v>17021.2</v>
      </c>
      <c r="F35" s="27">
        <v>16747.3</v>
      </c>
      <c r="G35" s="34">
        <f t="shared" si="6"/>
        <v>-273.90000000000146</v>
      </c>
      <c r="H35" s="27">
        <v>21370.78</v>
      </c>
      <c r="I35" s="27">
        <v>22276.65</v>
      </c>
      <c r="J35" s="34">
        <f t="shared" si="7"/>
        <v>905.87000000000262</v>
      </c>
      <c r="K35" s="20" t="str">
        <f t="shared" si="8"/>
        <v>False</v>
      </c>
      <c r="L35" s="21">
        <f>80.7/510</f>
        <v>0.15823529411764706</v>
      </c>
      <c r="M35" s="21">
        <f>77.3/479</f>
        <v>0.16137787056367431</v>
      </c>
      <c r="N35" s="22">
        <f t="shared" si="9"/>
        <v>3.0000000000000027E-3</v>
      </c>
      <c r="O35" s="21">
        <f>417/2282</f>
        <v>0.1827344434706398</v>
      </c>
      <c r="P35" s="21">
        <f>409/2296</f>
        <v>0.17813588850174217</v>
      </c>
      <c r="Q35" s="22">
        <f t="shared" si="10"/>
        <v>-5.0000000000000044E-3</v>
      </c>
      <c r="R35" s="23" t="str">
        <f t="shared" si="11"/>
        <v>True</v>
      </c>
    </row>
    <row r="36" spans="1:18" ht="18.75" customHeight="1">
      <c r="A36" s="17">
        <v>231477300008</v>
      </c>
      <c r="B36" s="18" t="s">
        <v>80</v>
      </c>
      <c r="C36" s="18" t="s">
        <v>82</v>
      </c>
      <c r="D36" s="19" t="s">
        <v>25</v>
      </c>
      <c r="E36" s="27">
        <v>20541.43</v>
      </c>
      <c r="F36" s="27">
        <v>20882.48</v>
      </c>
      <c r="G36" s="34">
        <f t="shared" si="6"/>
        <v>341.04999999999927</v>
      </c>
      <c r="H36" s="27">
        <v>21370.78</v>
      </c>
      <c r="I36" s="27">
        <v>22276.65</v>
      </c>
      <c r="J36" s="34">
        <f t="shared" si="7"/>
        <v>905.87000000000262</v>
      </c>
      <c r="K36" s="20" t="str">
        <f t="shared" si="8"/>
        <v>True</v>
      </c>
      <c r="L36" s="21">
        <f>38.5/194</f>
        <v>0.19845360824742267</v>
      </c>
      <c r="M36" s="21">
        <f>37.5/209</f>
        <v>0.17942583732057416</v>
      </c>
      <c r="N36" s="22">
        <f t="shared" si="9"/>
        <v>-1.9000000000000017E-2</v>
      </c>
      <c r="O36" s="21">
        <f>417/2282</f>
        <v>0.1827344434706398</v>
      </c>
      <c r="P36" s="21">
        <f>409/2296</f>
        <v>0.17813588850174217</v>
      </c>
      <c r="Q36" s="22">
        <f t="shared" si="10"/>
        <v>-5.0000000000000044E-3</v>
      </c>
      <c r="R36" s="23" t="str">
        <f t="shared" si="11"/>
        <v>False</v>
      </c>
    </row>
    <row r="37" spans="1:18" ht="18.75" customHeight="1">
      <c r="A37" s="17">
        <v>231481500030</v>
      </c>
      <c r="B37" s="18" t="s">
        <v>83</v>
      </c>
      <c r="C37" s="18" t="s">
        <v>84</v>
      </c>
      <c r="D37" s="19" t="s">
        <v>54</v>
      </c>
      <c r="E37" s="28">
        <v>15862.1</v>
      </c>
      <c r="F37" s="28">
        <v>14800.7</v>
      </c>
      <c r="G37" s="34">
        <f t="shared" si="6"/>
        <v>-1061.3999999999996</v>
      </c>
      <c r="H37" s="27">
        <v>14082.19</v>
      </c>
      <c r="I37" s="28">
        <v>13188.37</v>
      </c>
      <c r="J37" s="34">
        <f t="shared" si="7"/>
        <v>-893.81999999999971</v>
      </c>
      <c r="K37" s="20" t="str">
        <f t="shared" si="8"/>
        <v>False</v>
      </c>
      <c r="L37" s="21">
        <f>25.8/219</f>
        <v>0.11780821917808219</v>
      </c>
      <c r="M37" s="21">
        <f>37.63/213</f>
        <v>0.17666666666666667</v>
      </c>
      <c r="N37" s="22">
        <f t="shared" si="9"/>
        <v>5.8999999999999997E-2</v>
      </c>
      <c r="O37" s="21">
        <f>305.8/2253</f>
        <v>0.13573013759431868</v>
      </c>
      <c r="P37" s="21">
        <f>385.25/2278</f>
        <v>0.16911764705882354</v>
      </c>
      <c r="Q37" s="22">
        <f t="shared" si="10"/>
        <v>3.3000000000000002E-2</v>
      </c>
      <c r="R37" s="23" t="str">
        <f t="shared" si="11"/>
        <v>True</v>
      </c>
    </row>
    <row r="38" spans="1:18" ht="18.75" customHeight="1">
      <c r="A38" s="17">
        <v>231481500388</v>
      </c>
      <c r="B38" s="18" t="s">
        <v>83</v>
      </c>
      <c r="C38" s="18" t="s">
        <v>85</v>
      </c>
      <c r="D38" s="19" t="s">
        <v>56</v>
      </c>
      <c r="E38" s="27">
        <v>16369.47</v>
      </c>
      <c r="F38" s="27">
        <v>13455.77</v>
      </c>
      <c r="G38" s="34">
        <f t="shared" si="6"/>
        <v>-2913.6999999999989</v>
      </c>
      <c r="H38" s="27">
        <v>14082.19</v>
      </c>
      <c r="I38" s="28">
        <v>13188.37</v>
      </c>
      <c r="J38" s="34">
        <f t="shared" si="7"/>
        <v>-893.81999999999971</v>
      </c>
      <c r="K38" s="20" t="str">
        <f t="shared" si="8"/>
        <v>False</v>
      </c>
      <c r="L38" s="21">
        <f>44/249</f>
        <v>0.17670682730923695</v>
      </c>
      <c r="M38" s="21">
        <f>48.42/274</f>
        <v>0.17671532846715329</v>
      </c>
      <c r="N38" s="22">
        <f t="shared" si="9"/>
        <v>0</v>
      </c>
      <c r="O38" s="21">
        <f>305.8/2253</f>
        <v>0.13573013759431868</v>
      </c>
      <c r="P38" s="21">
        <f>385.25/2278</f>
        <v>0.16911764705882354</v>
      </c>
      <c r="Q38" s="22">
        <f t="shared" si="10"/>
        <v>3.3000000000000002E-2</v>
      </c>
      <c r="R38" s="23" t="str">
        <f t="shared" si="11"/>
        <v>True</v>
      </c>
    </row>
    <row r="39" spans="1:18" ht="18.75" customHeight="1">
      <c r="A39" s="17">
        <v>231478800294</v>
      </c>
      <c r="B39" s="18" t="s">
        <v>86</v>
      </c>
      <c r="C39" s="18" t="s">
        <v>87</v>
      </c>
      <c r="D39" s="19" t="s">
        <v>29</v>
      </c>
      <c r="E39" s="27">
        <v>16693.46</v>
      </c>
      <c r="F39" s="27">
        <v>17693.46</v>
      </c>
      <c r="G39" s="34">
        <f t="shared" si="6"/>
        <v>1000</v>
      </c>
      <c r="H39" s="27">
        <v>21288.17</v>
      </c>
      <c r="I39" s="27">
        <v>20970.689999999999</v>
      </c>
      <c r="J39" s="34">
        <f t="shared" si="7"/>
        <v>-317.47999999999956</v>
      </c>
      <c r="K39" s="20" t="str">
        <f t="shared" si="8"/>
        <v>True</v>
      </c>
      <c r="L39" s="25">
        <f>48.6/302</f>
        <v>0.16092715231788079</v>
      </c>
      <c r="M39" s="25">
        <f>46.1/303</f>
        <v>0.15214521452145216</v>
      </c>
      <c r="N39" s="22">
        <f t="shared" si="9"/>
        <v>-9.000000000000008E-3</v>
      </c>
      <c r="O39" s="25">
        <f>211.6/1178</f>
        <v>0.1796264855687606</v>
      </c>
      <c r="P39" s="25">
        <f>200.9/1206</f>
        <v>0.16658374792703151</v>
      </c>
      <c r="Q39" s="22">
        <f t="shared" si="10"/>
        <v>-1.2999999999999984E-2</v>
      </c>
      <c r="R39" s="23" t="str">
        <f t="shared" si="11"/>
        <v>True</v>
      </c>
    </row>
    <row r="40" spans="1:18" ht="18.75" customHeight="1">
      <c r="A40" s="17">
        <v>231478800235</v>
      </c>
      <c r="B40" s="18" t="s">
        <v>86</v>
      </c>
      <c r="C40" s="18" t="s">
        <v>88</v>
      </c>
      <c r="D40" s="19" t="s">
        <v>29</v>
      </c>
      <c r="E40" s="27">
        <v>22122.22</v>
      </c>
      <c r="F40" s="27">
        <v>23653.83</v>
      </c>
      <c r="G40" s="34">
        <f t="shared" si="6"/>
        <v>1531.6100000000006</v>
      </c>
      <c r="H40" s="27">
        <v>21288.17</v>
      </c>
      <c r="I40" s="27">
        <v>20970.689999999999</v>
      </c>
      <c r="J40" s="34">
        <f t="shared" si="7"/>
        <v>-317.47999999999956</v>
      </c>
      <c r="K40" s="20" t="str">
        <f t="shared" si="8"/>
        <v>True</v>
      </c>
      <c r="L40" s="25">
        <f>19.2/84</f>
        <v>0.22857142857142856</v>
      </c>
      <c r="M40" s="25">
        <f>19.5/86</f>
        <v>0.22674418604651161</v>
      </c>
      <c r="N40" s="22">
        <f t="shared" si="9"/>
        <v>-2.0000000000000018E-3</v>
      </c>
      <c r="O40" s="25">
        <f>211.6/1178</f>
        <v>0.1796264855687606</v>
      </c>
      <c r="P40" s="25">
        <f>200.9/1206</f>
        <v>0.16658374792703151</v>
      </c>
      <c r="Q40" s="22">
        <f t="shared" si="10"/>
        <v>-1.2999999999999984E-2</v>
      </c>
      <c r="R40" s="23" t="str">
        <f t="shared" si="11"/>
        <v>True</v>
      </c>
    </row>
    <row r="41" spans="1:18" ht="18.75" customHeight="1">
      <c r="A41" s="17">
        <v>231155000508</v>
      </c>
      <c r="B41" s="18" t="s">
        <v>89</v>
      </c>
      <c r="C41" s="18" t="s">
        <v>90</v>
      </c>
      <c r="D41" s="19" t="s">
        <v>20</v>
      </c>
      <c r="E41" s="27">
        <v>11263</v>
      </c>
      <c r="F41" s="27">
        <v>11920</v>
      </c>
      <c r="G41" s="34">
        <f t="shared" si="6"/>
        <v>657</v>
      </c>
      <c r="H41" s="27">
        <v>16338.1</v>
      </c>
      <c r="I41" s="27">
        <v>17947.439999999999</v>
      </c>
      <c r="J41" s="34">
        <f t="shared" si="7"/>
        <v>1609.3399999999983</v>
      </c>
      <c r="K41" s="20" t="str">
        <f t="shared" si="8"/>
        <v>True</v>
      </c>
      <c r="L41" s="25">
        <f>25/320</f>
        <v>7.8125E-2</v>
      </c>
      <c r="M41" s="25">
        <f>25/323</f>
        <v>7.7399380804953566E-2</v>
      </c>
      <c r="N41" s="22">
        <f t="shared" si="9"/>
        <v>-1.0000000000000009E-3</v>
      </c>
      <c r="O41" s="21">
        <v>7.0000000000000007E-2</v>
      </c>
      <c r="P41" s="21">
        <v>7.0000000000000007E-2</v>
      </c>
      <c r="Q41" s="22">
        <f t="shared" si="10"/>
        <v>0</v>
      </c>
      <c r="R41" s="63" t="s">
        <v>78</v>
      </c>
    </row>
    <row r="42" spans="1:18" ht="18.75" customHeight="1">
      <c r="A42" s="17">
        <v>231155000484</v>
      </c>
      <c r="B42" s="18" t="s">
        <v>89</v>
      </c>
      <c r="C42" s="18" t="s">
        <v>91</v>
      </c>
      <c r="D42" s="19" t="s">
        <v>20</v>
      </c>
      <c r="E42" s="27">
        <v>12478</v>
      </c>
      <c r="F42" s="27">
        <v>12894</v>
      </c>
      <c r="G42" s="34">
        <f t="shared" si="6"/>
        <v>416</v>
      </c>
      <c r="H42" s="27">
        <v>16338.1</v>
      </c>
      <c r="I42" s="27">
        <v>17947.439999999999</v>
      </c>
      <c r="J42" s="34">
        <f t="shared" si="7"/>
        <v>1609.3399999999983</v>
      </c>
      <c r="K42" s="20" t="str">
        <f t="shared" si="8"/>
        <v>True</v>
      </c>
      <c r="L42" s="25">
        <f>1/4</f>
        <v>0.25</v>
      </c>
      <c r="M42" s="25">
        <f>1/4</f>
        <v>0.25</v>
      </c>
      <c r="N42" s="22">
        <f t="shared" si="9"/>
        <v>0</v>
      </c>
      <c r="O42" s="43">
        <f>1/14</f>
        <v>7.1428571428571425E-2</v>
      </c>
      <c r="P42" s="43">
        <f>1/14</f>
        <v>7.1428571428571425E-2</v>
      </c>
      <c r="Q42" s="22">
        <f t="shared" si="10"/>
        <v>0</v>
      </c>
      <c r="R42" s="23" t="str">
        <f t="shared" ref="R42:R49" si="12">IF(AND(N42&lt;0,Q42&gt;N42), "False", "True")</f>
        <v>True</v>
      </c>
    </row>
    <row r="43" spans="1:18" ht="18.75" customHeight="1">
      <c r="A43" s="17">
        <v>231433000698</v>
      </c>
      <c r="B43" s="18" t="s">
        <v>92</v>
      </c>
      <c r="C43" s="18" t="s">
        <v>93</v>
      </c>
      <c r="D43" s="19" t="s">
        <v>20</v>
      </c>
      <c r="E43" s="27">
        <v>13844.24</v>
      </c>
      <c r="F43" s="27">
        <v>15375.92</v>
      </c>
      <c r="G43" s="34">
        <f t="shared" si="6"/>
        <v>1531.6800000000003</v>
      </c>
      <c r="H43" s="27">
        <v>14201</v>
      </c>
      <c r="I43" s="27">
        <v>15743.5</v>
      </c>
      <c r="J43" s="34">
        <f t="shared" si="7"/>
        <v>1542.5</v>
      </c>
      <c r="K43" s="20" t="str">
        <f t="shared" si="8"/>
        <v>True</v>
      </c>
      <c r="L43" s="25">
        <f>38.2/258</f>
        <v>0.14806201550387599</v>
      </c>
      <c r="M43" s="25">
        <f>45.44/253</f>
        <v>0.17960474308300395</v>
      </c>
      <c r="N43" s="22">
        <f t="shared" si="9"/>
        <v>3.2000000000000001E-2</v>
      </c>
      <c r="O43" s="25">
        <f>297/1904</f>
        <v>0.15598739495798319</v>
      </c>
      <c r="P43" s="25">
        <f>335.31/1887</f>
        <v>0.17769475357710651</v>
      </c>
      <c r="Q43" s="22">
        <f t="shared" si="10"/>
        <v>2.1999999999999992E-2</v>
      </c>
      <c r="R43" s="23" t="str">
        <f t="shared" si="12"/>
        <v>True</v>
      </c>
    </row>
    <row r="44" spans="1:18" ht="18.75" customHeight="1">
      <c r="A44" s="17">
        <v>231433000997</v>
      </c>
      <c r="B44" s="18" t="s">
        <v>92</v>
      </c>
      <c r="C44" s="18" t="s">
        <v>94</v>
      </c>
      <c r="D44" s="19" t="s">
        <v>95</v>
      </c>
      <c r="E44" s="27">
        <v>14388.51</v>
      </c>
      <c r="F44" s="27">
        <v>17823.88</v>
      </c>
      <c r="G44" s="34">
        <f t="shared" si="6"/>
        <v>3435.3700000000008</v>
      </c>
      <c r="H44" s="27">
        <v>14201</v>
      </c>
      <c r="I44" s="27">
        <v>15743.5</v>
      </c>
      <c r="J44" s="34">
        <f t="shared" si="7"/>
        <v>1542.5</v>
      </c>
      <c r="K44" s="20" t="str">
        <f t="shared" si="8"/>
        <v>True</v>
      </c>
      <c r="L44" s="25">
        <f>21.6/116</f>
        <v>0.18620689655172415</v>
      </c>
      <c r="M44" s="25">
        <f>25.35/112</f>
        <v>0.22633928571428572</v>
      </c>
      <c r="N44" s="22">
        <f t="shared" si="9"/>
        <v>4.0000000000000008E-2</v>
      </c>
      <c r="O44" s="25">
        <f>297/1904</f>
        <v>0.15598739495798319</v>
      </c>
      <c r="P44" s="25">
        <f>335.31/1887</f>
        <v>0.17769475357710651</v>
      </c>
      <c r="Q44" s="22">
        <f t="shared" si="10"/>
        <v>2.1999999999999992E-2</v>
      </c>
      <c r="R44" s="23" t="str">
        <f t="shared" si="12"/>
        <v>True</v>
      </c>
    </row>
    <row r="45" spans="1:18" ht="18.75" customHeight="1">
      <c r="A45" s="17">
        <v>231459060753</v>
      </c>
      <c r="B45" s="18" t="s">
        <v>96</v>
      </c>
      <c r="C45" s="18" t="s">
        <v>97</v>
      </c>
      <c r="D45" s="19" t="s">
        <v>95</v>
      </c>
      <c r="E45" s="27">
        <v>14967.12</v>
      </c>
      <c r="F45" s="27">
        <v>17174.400000000001</v>
      </c>
      <c r="G45" s="34">
        <f t="shared" si="6"/>
        <v>2207.2800000000007</v>
      </c>
      <c r="H45" s="27">
        <v>15342.38</v>
      </c>
      <c r="I45" s="27">
        <v>16064.43</v>
      </c>
      <c r="J45" s="34">
        <f t="shared" si="7"/>
        <v>722.05000000000109</v>
      </c>
      <c r="K45" s="20" t="str">
        <f t="shared" si="8"/>
        <v>True</v>
      </c>
      <c r="L45" s="21">
        <f>24.23/153</f>
        <v>0.15836601307189543</v>
      </c>
      <c r="M45" s="21">
        <f>25.62/133</f>
        <v>0.19263157894736843</v>
      </c>
      <c r="N45" s="22">
        <f t="shared" si="9"/>
        <v>3.5000000000000003E-2</v>
      </c>
      <c r="O45" s="64">
        <f>367.31/1426</f>
        <v>0.25758064516129031</v>
      </c>
      <c r="P45" s="64">
        <f>378.5/2212</f>
        <v>0.1711121157323689</v>
      </c>
      <c r="Q45" s="43">
        <f t="shared" si="10"/>
        <v>-8.6999999999999994E-2</v>
      </c>
      <c r="R45" s="23" t="str">
        <f t="shared" si="12"/>
        <v>True</v>
      </c>
    </row>
    <row r="46" spans="1:18" ht="18.75" customHeight="1">
      <c r="A46" s="17">
        <v>231459000746</v>
      </c>
      <c r="B46" s="18" t="s">
        <v>96</v>
      </c>
      <c r="C46" s="18" t="s">
        <v>98</v>
      </c>
      <c r="D46" s="19" t="s">
        <v>20</v>
      </c>
      <c r="E46" s="27">
        <v>17215.919999999998</v>
      </c>
      <c r="F46" s="27">
        <v>18871.080000000002</v>
      </c>
      <c r="G46" s="34">
        <f t="shared" si="6"/>
        <v>1655.1600000000035</v>
      </c>
      <c r="H46" s="27">
        <v>15342.38</v>
      </c>
      <c r="I46" s="27">
        <v>16064.43</v>
      </c>
      <c r="J46" s="34">
        <f t="shared" si="7"/>
        <v>722.05000000000109</v>
      </c>
      <c r="K46" s="20" t="str">
        <f t="shared" si="8"/>
        <v>True</v>
      </c>
      <c r="L46" s="21">
        <f>35.64/201</f>
        <v>0.17731343283582091</v>
      </c>
      <c r="M46" s="21">
        <f>35.93/185</f>
        <v>0.19421621621621621</v>
      </c>
      <c r="N46" s="22">
        <f t="shared" si="9"/>
        <v>1.7000000000000015E-2</v>
      </c>
      <c r="O46" s="25">
        <f>367.31/1426</f>
        <v>0.25758064516129031</v>
      </c>
      <c r="P46" s="25">
        <f>378.5/2212</f>
        <v>0.1711121157323689</v>
      </c>
      <c r="Q46" s="43">
        <f t="shared" si="10"/>
        <v>-8.6999999999999994E-2</v>
      </c>
      <c r="R46" s="23" t="str">
        <f t="shared" si="12"/>
        <v>True</v>
      </c>
    </row>
    <row r="47" spans="1:18" ht="18.75" customHeight="1">
      <c r="A47" s="17">
        <v>231470023185</v>
      </c>
      <c r="B47" s="18" t="s">
        <v>99</v>
      </c>
      <c r="C47" s="18" t="s">
        <v>100</v>
      </c>
      <c r="D47" s="19" t="s">
        <v>62</v>
      </c>
      <c r="E47" s="27">
        <v>9758.4</v>
      </c>
      <c r="F47" s="27">
        <v>10475.129999999999</v>
      </c>
      <c r="G47" s="34">
        <f t="shared" si="6"/>
        <v>716.72999999999956</v>
      </c>
      <c r="H47" s="27">
        <v>11056.42</v>
      </c>
      <c r="I47" s="27">
        <v>11090.32</v>
      </c>
      <c r="J47" s="34">
        <f t="shared" si="7"/>
        <v>33.899999999999636</v>
      </c>
      <c r="K47" s="20" t="str">
        <f t="shared" si="8"/>
        <v>True</v>
      </c>
      <c r="L47" s="21">
        <f>47.07/268</f>
        <v>0.17563432835820897</v>
      </c>
      <c r="M47" s="21">
        <f>47.23/263</f>
        <v>0.17958174904942964</v>
      </c>
      <c r="N47" s="22">
        <f t="shared" si="9"/>
        <v>4.0000000000000036E-3</v>
      </c>
      <c r="O47" s="21">
        <f>595.4/2909</f>
        <v>0.20467514609831555</v>
      </c>
      <c r="P47" s="21">
        <f>598.1/2960</f>
        <v>0.20206081081081081</v>
      </c>
      <c r="Q47" s="22">
        <f t="shared" si="10"/>
        <v>-2.9999999999999749E-3</v>
      </c>
      <c r="R47" s="23" t="str">
        <f t="shared" si="12"/>
        <v>True</v>
      </c>
    </row>
    <row r="48" spans="1:18" ht="18.75" customHeight="1">
      <c r="A48" s="17">
        <v>231470000781</v>
      </c>
      <c r="B48" s="18" t="s">
        <v>99</v>
      </c>
      <c r="C48" s="18" t="s">
        <v>101</v>
      </c>
      <c r="D48" s="19" t="s">
        <v>47</v>
      </c>
      <c r="E48" s="27">
        <v>10561.5</v>
      </c>
      <c r="F48" s="27">
        <v>11026.89</v>
      </c>
      <c r="G48" s="34">
        <f t="shared" si="6"/>
        <v>465.38999999999942</v>
      </c>
      <c r="H48" s="27">
        <v>11056.42</v>
      </c>
      <c r="I48" s="27">
        <v>11090.32</v>
      </c>
      <c r="J48" s="34">
        <f t="shared" si="7"/>
        <v>33.899999999999636</v>
      </c>
      <c r="K48" s="20" t="str">
        <f t="shared" si="8"/>
        <v>True</v>
      </c>
      <c r="L48" s="21">
        <f>29.5/148</f>
        <v>0.19932432432432431</v>
      </c>
      <c r="M48" s="21">
        <f>31.43/149</f>
        <v>0.21093959731543624</v>
      </c>
      <c r="N48" s="22">
        <f t="shared" si="9"/>
        <v>1.1999999999999983E-2</v>
      </c>
      <c r="O48" s="21">
        <f>595.4/2909</f>
        <v>0.20467514609831555</v>
      </c>
      <c r="P48" s="21">
        <f>598.1/2960</f>
        <v>0.20206081081081081</v>
      </c>
      <c r="Q48" s="22">
        <f t="shared" si="10"/>
        <v>-2.9999999999999749E-3</v>
      </c>
      <c r="R48" s="23" t="str">
        <f t="shared" si="12"/>
        <v>True</v>
      </c>
    </row>
    <row r="49" spans="1:18" ht="18.75" customHeight="1">
      <c r="A49" s="17">
        <v>231482223192</v>
      </c>
      <c r="B49" s="18" t="s">
        <v>102</v>
      </c>
      <c r="C49" s="18" t="s">
        <v>103</v>
      </c>
      <c r="D49" s="19" t="s">
        <v>38</v>
      </c>
      <c r="E49" s="27">
        <v>13838.55</v>
      </c>
      <c r="F49" s="27">
        <v>14965.96</v>
      </c>
      <c r="G49" s="34">
        <f t="shared" si="6"/>
        <v>1127.4099999999999</v>
      </c>
      <c r="H49" s="27">
        <v>19230.330000000002</v>
      </c>
      <c r="I49" s="27">
        <v>19892.009999999998</v>
      </c>
      <c r="J49" s="34">
        <f t="shared" si="7"/>
        <v>661.67999999999665</v>
      </c>
      <c r="K49" s="20" t="str">
        <f t="shared" si="8"/>
        <v>True</v>
      </c>
      <c r="L49" s="25">
        <f>12/73</f>
        <v>0.16438356164383561</v>
      </c>
      <c r="M49" s="25">
        <f>10/56</f>
        <v>0.17857142857142858</v>
      </c>
      <c r="N49" s="22">
        <f t="shared" si="9"/>
        <v>1.4999999999999986E-2</v>
      </c>
      <c r="O49" s="25">
        <f>369/1439</f>
        <v>0.25642807505211951</v>
      </c>
      <c r="P49" s="25">
        <f>359/1440</f>
        <v>0.24930555555555556</v>
      </c>
      <c r="Q49" s="22">
        <f t="shared" si="10"/>
        <v>-7.0000000000000062E-3</v>
      </c>
      <c r="R49" s="23" t="str">
        <f t="shared" si="12"/>
        <v>True</v>
      </c>
    </row>
    <row r="50" spans="1:18" ht="18.75" customHeight="1">
      <c r="A50" s="17">
        <v>231482223191</v>
      </c>
      <c r="B50" s="18" t="s">
        <v>102</v>
      </c>
      <c r="C50" s="18" t="s">
        <v>104</v>
      </c>
      <c r="D50" s="19" t="s">
        <v>36</v>
      </c>
      <c r="E50" s="27">
        <v>11639.06</v>
      </c>
      <c r="F50" s="27">
        <v>11655.43</v>
      </c>
      <c r="G50" s="34">
        <f t="shared" si="6"/>
        <v>16.3700000000008</v>
      </c>
      <c r="H50" s="27">
        <v>19230.330000000002</v>
      </c>
      <c r="I50" s="27">
        <v>19892.009999999998</v>
      </c>
      <c r="J50" s="34">
        <f t="shared" si="7"/>
        <v>661.67999999999665</v>
      </c>
      <c r="K50" s="20" t="str">
        <f t="shared" si="8"/>
        <v>True</v>
      </c>
      <c r="L50" s="25">
        <f>22.5/87</f>
        <v>0.25862068965517243</v>
      </c>
      <c r="M50" s="25">
        <f>24/97</f>
        <v>0.24742268041237114</v>
      </c>
      <c r="N50" s="22">
        <f t="shared" si="9"/>
        <v>-1.2000000000000011E-2</v>
      </c>
      <c r="O50" s="25">
        <f>369/1439</f>
        <v>0.25642807505211951</v>
      </c>
      <c r="P50" s="25">
        <f>359/1440</f>
        <v>0.24930555555555556</v>
      </c>
      <c r="Q50" s="22">
        <f t="shared" si="10"/>
        <v>-7.0000000000000062E-3</v>
      </c>
      <c r="R50" s="63" t="s">
        <v>78</v>
      </c>
    </row>
    <row r="51" spans="1:18" ht="18.75" customHeight="1">
      <c r="A51" s="17">
        <v>231476800055</v>
      </c>
      <c r="B51" s="18" t="s">
        <v>105</v>
      </c>
      <c r="C51" s="18" t="s">
        <v>106</v>
      </c>
      <c r="D51" s="19" t="s">
        <v>31</v>
      </c>
      <c r="E51" s="27">
        <v>17453.27</v>
      </c>
      <c r="F51" s="27">
        <v>17834.18</v>
      </c>
      <c r="G51" s="34">
        <f t="shared" si="6"/>
        <v>380.90999999999985</v>
      </c>
      <c r="H51" s="27">
        <v>17169.71</v>
      </c>
      <c r="I51" s="27">
        <v>18473.29</v>
      </c>
      <c r="J51" s="34">
        <f t="shared" si="7"/>
        <v>1303.5800000000017</v>
      </c>
      <c r="K51" s="20" t="str">
        <f t="shared" si="8"/>
        <v>True</v>
      </c>
      <c r="L51" s="25">
        <f>131.89/571</f>
        <v>0.23098073555166374</v>
      </c>
      <c r="M51" s="25">
        <f>126.66/582</f>
        <v>0.21762886597938144</v>
      </c>
      <c r="N51" s="22">
        <f t="shared" si="9"/>
        <v>-1.3000000000000012E-2</v>
      </c>
      <c r="O51" s="25">
        <f>612.81/2415</f>
        <v>0.25375155279503103</v>
      </c>
      <c r="P51" s="25">
        <f>568.15/2370</f>
        <v>0.23972573839662445</v>
      </c>
      <c r="Q51" s="22">
        <f t="shared" si="10"/>
        <v>-1.4000000000000012E-2</v>
      </c>
      <c r="R51" s="23" t="str">
        <f t="shared" ref="R51:R64" si="13">IF(AND(N51&lt;0,Q51&gt;N51), "False", "True")</f>
        <v>True</v>
      </c>
    </row>
    <row r="52" spans="1:18" ht="18.75" customHeight="1">
      <c r="A52" s="17">
        <v>231476800817</v>
      </c>
      <c r="B52" s="18" t="s">
        <v>105</v>
      </c>
      <c r="C52" s="18" t="s">
        <v>107</v>
      </c>
      <c r="D52" s="19" t="s">
        <v>25</v>
      </c>
      <c r="E52" s="27">
        <v>23391.19</v>
      </c>
      <c r="F52" s="27">
        <v>25802.34</v>
      </c>
      <c r="G52" s="34">
        <f t="shared" si="6"/>
        <v>2411.1500000000015</v>
      </c>
      <c r="H52" s="27">
        <v>17169.71</v>
      </c>
      <c r="I52" s="27">
        <v>18473.29</v>
      </c>
      <c r="J52" s="34">
        <f t="shared" si="7"/>
        <v>1303.5800000000017</v>
      </c>
      <c r="K52" s="20" t="str">
        <f t="shared" si="8"/>
        <v>True</v>
      </c>
      <c r="L52" s="25">
        <f>35.41/125</f>
        <v>0.28327999999999998</v>
      </c>
      <c r="M52" s="25">
        <f>35.8/122</f>
        <v>0.29344262295081963</v>
      </c>
      <c r="N52" s="22">
        <f t="shared" si="9"/>
        <v>1.0000000000000009E-2</v>
      </c>
      <c r="O52" s="25">
        <f>612.81/2415</f>
        <v>0.25375155279503103</v>
      </c>
      <c r="P52" s="25">
        <f>568.15/2370</f>
        <v>0.23972573839662445</v>
      </c>
      <c r="Q52" s="22">
        <f t="shared" si="10"/>
        <v>-1.4000000000000012E-2</v>
      </c>
      <c r="R52" s="23" t="str">
        <f t="shared" si="13"/>
        <v>True</v>
      </c>
    </row>
    <row r="53" spans="1:18" ht="18.75" customHeight="1">
      <c r="A53" s="17">
        <v>231086000370</v>
      </c>
      <c r="B53" s="18" t="s">
        <v>108</v>
      </c>
      <c r="C53" s="18" t="s">
        <v>109</v>
      </c>
      <c r="D53" s="19" t="s">
        <v>36</v>
      </c>
      <c r="E53" s="27">
        <v>10754.82</v>
      </c>
      <c r="F53" s="27">
        <v>11162.28</v>
      </c>
      <c r="G53" s="34">
        <f t="shared" si="6"/>
        <v>407.46000000000095</v>
      </c>
      <c r="H53" s="27">
        <v>15512.74</v>
      </c>
      <c r="I53" s="27">
        <v>16110.11</v>
      </c>
      <c r="J53" s="34">
        <f t="shared" si="7"/>
        <v>597.3700000000008</v>
      </c>
      <c r="K53" s="20" t="str">
        <f t="shared" si="8"/>
        <v>True</v>
      </c>
      <c r="L53" s="21">
        <f>60.4/364</f>
        <v>0.16593406593406593</v>
      </c>
      <c r="M53" s="21">
        <f>64.8/364</f>
        <v>0.17802197802197803</v>
      </c>
      <c r="N53" s="22">
        <f t="shared" si="9"/>
        <v>1.1999999999999983E-2</v>
      </c>
      <c r="O53" s="21">
        <f>338.43/1843</f>
        <v>0.18362995116657624</v>
      </c>
      <c r="P53" s="21">
        <f>367.33/1843</f>
        <v>0.19931090613130764</v>
      </c>
      <c r="Q53" s="22">
        <f t="shared" si="10"/>
        <v>1.5000000000000013E-2</v>
      </c>
      <c r="R53" s="23" t="str">
        <f t="shared" si="13"/>
        <v>True</v>
      </c>
    </row>
    <row r="54" spans="1:18" ht="18.75" customHeight="1">
      <c r="A54" s="17">
        <v>231086000367</v>
      </c>
      <c r="B54" s="18" t="s">
        <v>108</v>
      </c>
      <c r="C54" s="18" t="s">
        <v>110</v>
      </c>
      <c r="D54" s="19" t="s">
        <v>38</v>
      </c>
      <c r="E54" s="27">
        <v>14029.59</v>
      </c>
      <c r="F54" s="27">
        <v>14378.58</v>
      </c>
      <c r="G54" s="34">
        <f t="shared" si="6"/>
        <v>348.98999999999978</v>
      </c>
      <c r="H54" s="27">
        <v>15512.74</v>
      </c>
      <c r="I54" s="27">
        <v>16110.11</v>
      </c>
      <c r="J54" s="34">
        <f t="shared" si="7"/>
        <v>597.3700000000008</v>
      </c>
      <c r="K54" s="20" t="str">
        <f t="shared" si="8"/>
        <v>True</v>
      </c>
      <c r="L54" s="21">
        <f>45.5/256</f>
        <v>0.177734375</v>
      </c>
      <c r="M54" s="21">
        <f>46.4/256</f>
        <v>0.18124999999999999</v>
      </c>
      <c r="N54" s="22">
        <f t="shared" si="9"/>
        <v>3.0000000000000027E-3</v>
      </c>
      <c r="O54" s="21">
        <f>338.43/1843</f>
        <v>0.18362995116657624</v>
      </c>
      <c r="P54" s="21">
        <f>367.33/1843</f>
        <v>0.19931090613130764</v>
      </c>
      <c r="Q54" s="22">
        <f t="shared" si="10"/>
        <v>1.5000000000000013E-2</v>
      </c>
      <c r="R54" s="23" t="str">
        <f t="shared" si="13"/>
        <v>True</v>
      </c>
    </row>
    <row r="55" spans="1:18" ht="18.75" customHeight="1">
      <c r="A55" s="26">
        <v>231038000306</v>
      </c>
      <c r="B55" s="18" t="s">
        <v>111</v>
      </c>
      <c r="C55" s="18" t="s">
        <v>112</v>
      </c>
      <c r="D55" s="42" t="s">
        <v>38</v>
      </c>
      <c r="E55" s="27">
        <v>15990.01</v>
      </c>
      <c r="F55" s="27">
        <v>15895.3</v>
      </c>
      <c r="G55" s="34">
        <f t="shared" si="6"/>
        <v>-94.710000000000946</v>
      </c>
      <c r="H55" s="27">
        <v>15359.18</v>
      </c>
      <c r="I55" s="27">
        <v>14843.17</v>
      </c>
      <c r="J55" s="34">
        <f t="shared" si="7"/>
        <v>-516.01000000000022</v>
      </c>
      <c r="K55" s="20" t="str">
        <f t="shared" si="8"/>
        <v>True</v>
      </c>
      <c r="L55" s="21">
        <f>83.8/543</f>
        <v>0.15432780847145489</v>
      </c>
      <c r="M55" s="21">
        <f>95.3/595</f>
        <v>0.16016806722689075</v>
      </c>
      <c r="N55" s="22">
        <f t="shared" si="9"/>
        <v>6.0000000000000053E-3</v>
      </c>
      <c r="O55" s="21">
        <f>283.4/1807</f>
        <v>0.15683453237410069</v>
      </c>
      <c r="P55" s="21">
        <f>313.8/1886</f>
        <v>0.16638388123011666</v>
      </c>
      <c r="Q55" s="22">
        <f t="shared" si="10"/>
        <v>9.000000000000008E-3</v>
      </c>
      <c r="R55" s="23" t="str">
        <f t="shared" si="13"/>
        <v>True</v>
      </c>
    </row>
    <row r="56" spans="1:18" ht="18.75" customHeight="1">
      <c r="A56" s="26">
        <v>231038000307</v>
      </c>
      <c r="B56" s="18" t="s">
        <v>111</v>
      </c>
      <c r="C56" s="18" t="s">
        <v>113</v>
      </c>
      <c r="D56" s="19" t="s">
        <v>67</v>
      </c>
      <c r="E56" s="28">
        <v>16607.849999999999</v>
      </c>
      <c r="F56" s="28">
        <v>16913.439999999999</v>
      </c>
      <c r="G56" s="35">
        <v>305.58999999999997</v>
      </c>
      <c r="H56" s="28">
        <v>15359.18</v>
      </c>
      <c r="I56" s="28">
        <v>14843.17</v>
      </c>
      <c r="J56" s="34">
        <f t="shared" si="7"/>
        <v>-516.01000000000022</v>
      </c>
      <c r="K56" s="20" t="str">
        <f t="shared" si="8"/>
        <v>True</v>
      </c>
      <c r="L56" s="21">
        <v>0.2</v>
      </c>
      <c r="M56" s="21">
        <v>0.17</v>
      </c>
      <c r="N56" s="22">
        <f t="shared" si="9"/>
        <v>-0.03</v>
      </c>
      <c r="O56" s="21">
        <v>0.16</v>
      </c>
      <c r="P56" s="21">
        <v>0.17</v>
      </c>
      <c r="Q56" s="22">
        <f t="shared" si="10"/>
        <v>1.0000000000000009E-2</v>
      </c>
      <c r="R56" s="23" t="str">
        <f t="shared" si="13"/>
        <v>False</v>
      </c>
    </row>
    <row r="57" spans="1:18" ht="18.75" customHeight="1">
      <c r="A57" s="26">
        <v>231050001030</v>
      </c>
      <c r="B57" s="18" t="s">
        <v>114</v>
      </c>
      <c r="C57" s="18" t="s">
        <v>115</v>
      </c>
      <c r="D57" s="19" t="s">
        <v>56</v>
      </c>
      <c r="E57" s="28">
        <v>15008.3</v>
      </c>
      <c r="F57" s="28">
        <v>15389.92</v>
      </c>
      <c r="G57" s="35">
        <v>381.62</v>
      </c>
      <c r="H57" s="28">
        <v>13187.2</v>
      </c>
      <c r="I57" s="28">
        <v>13903.9</v>
      </c>
      <c r="J57" s="34">
        <f t="shared" si="7"/>
        <v>716.69999999999891</v>
      </c>
      <c r="K57" s="20" t="str">
        <f t="shared" si="8"/>
        <v>True</v>
      </c>
      <c r="L57" s="21">
        <v>0.16</v>
      </c>
      <c r="M57" s="21">
        <v>0.17</v>
      </c>
      <c r="N57" s="22">
        <f t="shared" si="9"/>
        <v>1.0000000000000009E-2</v>
      </c>
      <c r="O57" s="21">
        <v>0.13</v>
      </c>
      <c r="P57" s="21">
        <v>0.14000000000000001</v>
      </c>
      <c r="Q57" s="22">
        <f t="shared" si="10"/>
        <v>1.0000000000000009E-2</v>
      </c>
      <c r="R57" s="23" t="str">
        <f t="shared" si="13"/>
        <v>True</v>
      </c>
    </row>
    <row r="58" spans="1:18" ht="18.75" customHeight="1">
      <c r="A58" s="26">
        <v>231050023143</v>
      </c>
      <c r="B58" s="18" t="s">
        <v>114</v>
      </c>
      <c r="C58" s="18" t="s">
        <v>116</v>
      </c>
      <c r="D58" s="19" t="s">
        <v>56</v>
      </c>
      <c r="E58" s="28">
        <v>15225.9</v>
      </c>
      <c r="F58" s="28">
        <v>15683.91</v>
      </c>
      <c r="G58" s="35">
        <v>458.01</v>
      </c>
      <c r="H58" s="28">
        <v>13187.2</v>
      </c>
      <c r="I58" s="28">
        <v>13903.9</v>
      </c>
      <c r="J58" s="34">
        <f t="shared" si="7"/>
        <v>716.69999999999891</v>
      </c>
      <c r="K58" s="20" t="str">
        <f t="shared" si="8"/>
        <v>True</v>
      </c>
      <c r="L58" s="21">
        <v>0.16</v>
      </c>
      <c r="M58" s="21">
        <v>0.16</v>
      </c>
      <c r="N58" s="22">
        <f t="shared" si="9"/>
        <v>0</v>
      </c>
      <c r="O58" s="21">
        <v>0.13</v>
      </c>
      <c r="P58" s="21">
        <v>0.14000000000000001</v>
      </c>
      <c r="Q58" s="22">
        <f t="shared" si="10"/>
        <v>1.0000000000000009E-2</v>
      </c>
      <c r="R58" s="23" t="str">
        <f t="shared" si="13"/>
        <v>True</v>
      </c>
    </row>
    <row r="59" spans="1:18" ht="18.75" customHeight="1">
      <c r="A59" s="26">
        <v>231053000319</v>
      </c>
      <c r="B59" s="18" t="s">
        <v>117</v>
      </c>
      <c r="C59" s="18" t="s">
        <v>118</v>
      </c>
      <c r="D59" s="19" t="s">
        <v>67</v>
      </c>
      <c r="E59" s="28">
        <v>18048.150000000001</v>
      </c>
      <c r="F59" s="28">
        <v>18734.759999999998</v>
      </c>
      <c r="G59" s="35">
        <v>686.61</v>
      </c>
      <c r="H59" s="28">
        <v>17454.099999999999</v>
      </c>
      <c r="I59" s="28">
        <v>18382.59</v>
      </c>
      <c r="J59" s="34">
        <f t="shared" si="7"/>
        <v>928.4900000000016</v>
      </c>
      <c r="K59" s="20" t="str">
        <f t="shared" si="8"/>
        <v>True</v>
      </c>
      <c r="L59" s="21">
        <v>0.16</v>
      </c>
      <c r="M59" s="21">
        <v>0.17</v>
      </c>
      <c r="N59" s="22">
        <f t="shared" si="9"/>
        <v>1.0000000000000009E-2</v>
      </c>
      <c r="O59" s="21">
        <v>0.16</v>
      </c>
      <c r="P59" s="21">
        <v>0.16</v>
      </c>
      <c r="Q59" s="22">
        <f t="shared" si="10"/>
        <v>0</v>
      </c>
      <c r="R59" s="23" t="str">
        <f t="shared" si="13"/>
        <v>True</v>
      </c>
    </row>
    <row r="60" spans="1:18" ht="18.75" customHeight="1">
      <c r="A60" s="26">
        <v>231053000321</v>
      </c>
      <c r="B60" s="18" t="s">
        <v>117</v>
      </c>
      <c r="C60" s="18" t="s">
        <v>119</v>
      </c>
      <c r="D60" s="19" t="s">
        <v>67</v>
      </c>
      <c r="E60" s="28">
        <v>17600.14</v>
      </c>
      <c r="F60" s="28">
        <v>18687.419999999998</v>
      </c>
      <c r="G60" s="35">
        <v>1087.28</v>
      </c>
      <c r="H60" s="28">
        <v>17454.099999999999</v>
      </c>
      <c r="I60" s="28">
        <v>18382.59</v>
      </c>
      <c r="J60" s="34">
        <f t="shared" si="7"/>
        <v>928.4900000000016</v>
      </c>
      <c r="K60" s="20" t="str">
        <f t="shared" si="8"/>
        <v>True</v>
      </c>
      <c r="L60" s="21">
        <v>0.19</v>
      </c>
      <c r="M60" s="21">
        <v>0.19</v>
      </c>
      <c r="N60" s="22">
        <f t="shared" si="9"/>
        <v>0</v>
      </c>
      <c r="O60" s="21">
        <v>0.16</v>
      </c>
      <c r="P60" s="21">
        <v>0.16</v>
      </c>
      <c r="Q60" s="22">
        <f t="shared" si="10"/>
        <v>0</v>
      </c>
      <c r="R60" s="23" t="str">
        <f t="shared" si="13"/>
        <v>True</v>
      </c>
    </row>
    <row r="61" spans="1:18" ht="18.75" customHeight="1">
      <c r="A61" s="26">
        <v>231233000033</v>
      </c>
      <c r="B61" s="18" t="s">
        <v>120</v>
      </c>
      <c r="C61" s="18" t="s">
        <v>121</v>
      </c>
      <c r="D61" s="19" t="s">
        <v>122</v>
      </c>
      <c r="E61" s="28">
        <v>12733.6</v>
      </c>
      <c r="F61" s="28">
        <v>14174.43</v>
      </c>
      <c r="G61" s="35">
        <v>1440.83</v>
      </c>
      <c r="H61" s="28">
        <v>19007.689999999999</v>
      </c>
      <c r="I61" s="28">
        <v>19391.21</v>
      </c>
      <c r="J61" s="34">
        <f t="shared" si="7"/>
        <v>383.52000000000044</v>
      </c>
      <c r="K61" s="20" t="str">
        <f t="shared" si="8"/>
        <v>True</v>
      </c>
      <c r="L61" s="21">
        <v>0.14000000000000001</v>
      </c>
      <c r="M61" s="21">
        <v>0.16</v>
      </c>
      <c r="N61" s="22">
        <f t="shared" si="9"/>
        <v>1.999999999999999E-2</v>
      </c>
      <c r="O61" s="21">
        <v>0.19</v>
      </c>
      <c r="P61" s="21">
        <v>0.18</v>
      </c>
      <c r="Q61" s="22">
        <f t="shared" si="10"/>
        <v>-1.0000000000000009E-2</v>
      </c>
      <c r="R61" s="23" t="str">
        <f t="shared" si="13"/>
        <v>True</v>
      </c>
    </row>
    <row r="62" spans="1:18" ht="18.75" customHeight="1">
      <c r="A62" s="26">
        <v>231230000716</v>
      </c>
      <c r="B62" s="18" t="s">
        <v>120</v>
      </c>
      <c r="C62" s="18" t="s">
        <v>123</v>
      </c>
      <c r="D62" s="19" t="s">
        <v>29</v>
      </c>
      <c r="E62" s="28">
        <v>12731.07</v>
      </c>
      <c r="F62" s="28">
        <v>14882.12</v>
      </c>
      <c r="G62" s="35">
        <v>2148.0500000000002</v>
      </c>
      <c r="H62" s="28">
        <v>19007.689999999999</v>
      </c>
      <c r="I62" s="28">
        <v>19391.21</v>
      </c>
      <c r="J62" s="34">
        <f t="shared" si="7"/>
        <v>383.52000000000044</v>
      </c>
      <c r="K62" s="20" t="str">
        <f t="shared" si="8"/>
        <v>True</v>
      </c>
      <c r="L62" s="21">
        <v>0.14000000000000001</v>
      </c>
      <c r="M62" s="21">
        <v>0.17</v>
      </c>
      <c r="N62" s="22">
        <f t="shared" si="9"/>
        <v>0.03</v>
      </c>
      <c r="O62" s="21">
        <v>0.19</v>
      </c>
      <c r="P62" s="21">
        <v>0.18</v>
      </c>
      <c r="Q62" s="22">
        <f t="shared" si="10"/>
        <v>-1.0000000000000009E-2</v>
      </c>
      <c r="R62" s="23" t="str">
        <f t="shared" si="13"/>
        <v>True</v>
      </c>
    </row>
    <row r="63" spans="1:18" ht="18.75" customHeight="1">
      <c r="A63" s="26">
        <v>231356000621</v>
      </c>
      <c r="B63" s="18" t="s">
        <v>124</v>
      </c>
      <c r="C63" s="18" t="s">
        <v>125</v>
      </c>
      <c r="D63" s="19" t="s">
        <v>56</v>
      </c>
      <c r="E63" s="28">
        <v>11563.99</v>
      </c>
      <c r="F63" s="28">
        <v>13314.34</v>
      </c>
      <c r="G63" s="35">
        <v>1750.35</v>
      </c>
      <c r="H63" s="28">
        <v>11802.79</v>
      </c>
      <c r="I63" s="28">
        <v>13096.76</v>
      </c>
      <c r="J63" s="34">
        <f t="shared" si="7"/>
        <v>1293.9699999999993</v>
      </c>
      <c r="K63" s="20" t="str">
        <f t="shared" si="8"/>
        <v>True</v>
      </c>
      <c r="L63" s="21">
        <v>0.15</v>
      </c>
      <c r="M63" s="21">
        <v>0.16</v>
      </c>
      <c r="N63" s="22">
        <f t="shared" si="9"/>
        <v>1.0000000000000009E-2</v>
      </c>
      <c r="O63" s="21">
        <v>0.14000000000000001</v>
      </c>
      <c r="P63" s="21">
        <v>0.15</v>
      </c>
      <c r="Q63" s="22">
        <f t="shared" si="10"/>
        <v>9.9999999999999811E-3</v>
      </c>
      <c r="R63" s="23" t="str">
        <f t="shared" si="13"/>
        <v>True</v>
      </c>
    </row>
    <row r="64" spans="1:18" ht="18.75" customHeight="1">
      <c r="A64" s="26">
        <v>231356000618</v>
      </c>
      <c r="B64" s="18" t="s">
        <v>124</v>
      </c>
      <c r="C64" s="18" t="s">
        <v>126</v>
      </c>
      <c r="D64" s="19" t="s">
        <v>56</v>
      </c>
      <c r="E64" s="28">
        <v>14707.13</v>
      </c>
      <c r="F64" s="28">
        <v>16964.22</v>
      </c>
      <c r="G64" s="35">
        <v>2257.09</v>
      </c>
      <c r="H64" s="28">
        <v>11802.79</v>
      </c>
      <c r="I64" s="28">
        <v>13096.76</v>
      </c>
      <c r="J64" s="34">
        <f t="shared" si="7"/>
        <v>1293.9699999999993</v>
      </c>
      <c r="K64" s="20" t="str">
        <f t="shared" si="8"/>
        <v>True</v>
      </c>
      <c r="L64" s="21">
        <v>0.18</v>
      </c>
      <c r="M64" s="21">
        <v>0.21</v>
      </c>
      <c r="N64" s="22">
        <f t="shared" si="9"/>
        <v>0.03</v>
      </c>
      <c r="O64" s="21">
        <v>0.14000000000000001</v>
      </c>
      <c r="P64" s="21">
        <v>0.15</v>
      </c>
      <c r="Q64" s="22">
        <f t="shared" si="10"/>
        <v>9.9999999999999811E-3</v>
      </c>
      <c r="R64" s="23" t="str">
        <f t="shared" si="13"/>
        <v>True</v>
      </c>
    </row>
    <row r="65" spans="3:15" ht="18.75" customHeight="1">
      <c r="C65" s="1"/>
    </row>
    <row r="66" spans="3:15" ht="18.75" customHeight="1">
      <c r="C66" s="1"/>
      <c r="E66" s="30" t="s">
        <v>127</v>
      </c>
      <c r="I66" s="31"/>
      <c r="N66" s="10"/>
    </row>
    <row r="75" spans="3:15" ht="18.75" customHeight="1">
      <c r="C75" s="8"/>
      <c r="D75" s="2"/>
      <c r="E75" s="32"/>
      <c r="F75" s="32"/>
      <c r="G75" s="32"/>
      <c r="H75" s="32"/>
      <c r="I75" s="32"/>
      <c r="J75" s="32"/>
      <c r="K75" s="7"/>
      <c r="L75" s="4"/>
      <c r="M75" s="4"/>
      <c r="N75" s="7"/>
      <c r="O75" s="4"/>
    </row>
    <row r="76" spans="3:15" ht="18.75" customHeight="1">
      <c r="C76" s="8"/>
      <c r="D76" s="2"/>
      <c r="E76" s="32"/>
      <c r="F76" s="32"/>
      <c r="G76" s="32"/>
      <c r="H76" s="32"/>
      <c r="I76" s="32"/>
      <c r="J76" s="32"/>
      <c r="K76" s="7"/>
      <c r="L76" s="4"/>
      <c r="M76" s="4"/>
      <c r="N76" s="7"/>
      <c r="O76" s="4"/>
    </row>
    <row r="93" spans="6:19" ht="18.75" customHeight="1">
      <c r="F93" s="33"/>
      <c r="G93" s="33"/>
      <c r="H93" s="33"/>
      <c r="I93" s="33"/>
      <c r="J93" s="33"/>
      <c r="K93" s="6"/>
      <c r="L93" s="3"/>
      <c r="M93" s="3"/>
      <c r="N93" s="3"/>
      <c r="O93" s="3"/>
      <c r="P93" s="3"/>
      <c r="Q93" s="3"/>
      <c r="R93" s="3"/>
      <c r="S93" s="1"/>
    </row>
    <row r="94" spans="6:19" ht="18.75" customHeight="1">
      <c r="F94" s="33"/>
      <c r="G94" s="33"/>
      <c r="H94" s="33"/>
      <c r="I94" s="33"/>
      <c r="J94" s="33"/>
      <c r="K94" s="6"/>
      <c r="L94" s="3"/>
      <c r="M94" s="3"/>
      <c r="N94" s="3"/>
      <c r="O94" s="3"/>
      <c r="P94" s="3"/>
      <c r="Q94" s="3"/>
      <c r="R94" s="3"/>
      <c r="S94" s="1"/>
    </row>
  </sheetData>
  <autoFilter ref="A1:R64" xr:uid="{E519C1A0-521E-954D-8A32-A7B9266E740F}">
    <sortState xmlns:xlrd2="http://schemas.microsoft.com/office/spreadsheetml/2017/richdata2" ref="A2:R64">
      <sortCondition ref="B1:B6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995B-520A-40EB-B33D-BC1F21CC0AB3}">
  <dimension ref="A1:R11"/>
  <sheetViews>
    <sheetView topLeftCell="B1" workbookViewId="0">
      <selection activeCell="R2" sqref="R2"/>
    </sheetView>
  </sheetViews>
  <sheetFormatPr defaultColWidth="18.26953125" defaultRowHeight="12.5"/>
  <cols>
    <col min="1" max="1" width="14.81640625" bestFit="1" customWidth="1"/>
    <col min="2" max="2" width="22.54296875" bestFit="1" customWidth="1"/>
    <col min="3" max="3" width="25.7265625" bestFit="1" customWidth="1"/>
    <col min="4" max="4" width="14.1796875" bestFit="1" customWidth="1"/>
    <col min="5" max="6" width="16.1796875" style="59" bestFit="1" customWidth="1"/>
    <col min="7" max="7" width="13.81640625" style="59" customWidth="1"/>
    <col min="8" max="9" width="16.54296875" style="59" bestFit="1" customWidth="1"/>
    <col min="10" max="10" width="18" style="59" bestFit="1" customWidth="1"/>
    <col min="11" max="11" width="13.453125" bestFit="1" customWidth="1"/>
    <col min="12" max="12" width="11.7265625" customWidth="1"/>
    <col min="13" max="13" width="11.54296875" customWidth="1"/>
    <col min="14" max="14" width="15.7265625" customWidth="1"/>
    <col min="15" max="15" width="15.26953125" customWidth="1"/>
    <col min="16" max="16" width="14.54296875" customWidth="1"/>
    <col min="17" max="17" width="15.453125" customWidth="1"/>
    <col min="18" max="18" width="15.26953125" bestFit="1" customWidth="1"/>
  </cols>
  <sheetData>
    <row r="1" spans="1:18" ht="75">
      <c r="A1" s="44" t="s">
        <v>0</v>
      </c>
      <c r="B1" s="45" t="s">
        <v>1</v>
      </c>
      <c r="C1" s="45" t="s">
        <v>2</v>
      </c>
      <c r="D1" s="46" t="s">
        <v>3</v>
      </c>
      <c r="E1" s="57" t="s">
        <v>128</v>
      </c>
      <c r="F1" s="57" t="s">
        <v>129</v>
      </c>
      <c r="G1" s="57" t="s">
        <v>130</v>
      </c>
      <c r="H1" s="57" t="s">
        <v>131</v>
      </c>
      <c r="I1" s="57" t="s">
        <v>132</v>
      </c>
      <c r="J1" s="57" t="s">
        <v>133</v>
      </c>
      <c r="K1" s="45" t="s">
        <v>10</v>
      </c>
      <c r="L1" s="47" t="s">
        <v>134</v>
      </c>
      <c r="M1" s="47" t="s">
        <v>135</v>
      </c>
      <c r="N1" s="47" t="s">
        <v>136</v>
      </c>
      <c r="O1" s="48" t="s">
        <v>137</v>
      </c>
      <c r="P1" s="48" t="s">
        <v>138</v>
      </c>
      <c r="Q1" s="48" t="s">
        <v>139</v>
      </c>
      <c r="R1" s="45" t="s">
        <v>17</v>
      </c>
    </row>
    <row r="2" spans="1:18" ht="15.5">
      <c r="A2" s="49">
        <v>230261000907</v>
      </c>
      <c r="B2" s="50" t="s">
        <v>140</v>
      </c>
      <c r="C2" s="50" t="s">
        <v>141</v>
      </c>
      <c r="D2" s="51" t="s">
        <v>70</v>
      </c>
      <c r="E2" s="58">
        <v>10122</v>
      </c>
      <c r="F2" s="58">
        <v>11015</v>
      </c>
      <c r="G2" s="61">
        <f>F2-E2</f>
        <v>893</v>
      </c>
      <c r="H2" s="58">
        <v>10122</v>
      </c>
      <c r="I2" s="58">
        <v>11015</v>
      </c>
      <c r="J2" s="61">
        <f>I2-H2</f>
        <v>893</v>
      </c>
      <c r="K2" s="60" t="str">
        <f>IF(AND(G2&lt;0,J2&gt;G2), "False", "True")</f>
        <v>True</v>
      </c>
      <c r="L2" s="52">
        <f>67.3/515</f>
        <v>0.13067961165048544</v>
      </c>
      <c r="M2" s="52">
        <f>67.3/491</f>
        <v>0.1370672097759674</v>
      </c>
      <c r="N2" s="62">
        <f>ROUND(M2,2)-ROUND(L2,2)</f>
        <v>1.0000000000000009E-2</v>
      </c>
      <c r="O2" s="52">
        <f>67.3/515</f>
        <v>0.13067961165048544</v>
      </c>
      <c r="P2" s="52">
        <f>67.3/491</f>
        <v>0.1370672097759674</v>
      </c>
      <c r="Q2" s="62">
        <f>ROUND(P2,2)-ROUND(O2,2)</f>
        <v>1.0000000000000009E-2</v>
      </c>
      <c r="R2" s="60" t="str">
        <f>IF(AND(N2&lt;0,Q2&gt;N2),"False","True")</f>
        <v>True</v>
      </c>
    </row>
    <row r="3" spans="1:18" ht="15.5">
      <c r="A3" s="53">
        <v>230261000013</v>
      </c>
      <c r="B3" s="50" t="s">
        <v>140</v>
      </c>
      <c r="C3" s="50" t="s">
        <v>142</v>
      </c>
      <c r="D3" s="51" t="s">
        <v>143</v>
      </c>
      <c r="E3" s="58">
        <v>11185</v>
      </c>
      <c r="F3" s="58">
        <v>11310</v>
      </c>
      <c r="G3" s="61">
        <f t="shared" ref="G3:G11" si="0">F3-E3</f>
        <v>125</v>
      </c>
      <c r="H3" s="58">
        <v>11185</v>
      </c>
      <c r="I3" s="58">
        <v>11310</v>
      </c>
      <c r="J3" s="61">
        <f t="shared" ref="J3:J11" si="1">I3-H3</f>
        <v>125</v>
      </c>
      <c r="K3" s="60" t="str">
        <f t="shared" ref="K3:K11" si="2">IF(AND(G3&lt;0,J3&gt;G3), "False", "True")</f>
        <v>True</v>
      </c>
      <c r="L3" s="52">
        <f>132.2/911</f>
        <v>0.14511525795828759</v>
      </c>
      <c r="M3" s="52">
        <f>134.2/928</f>
        <v>0.14461206896551723</v>
      </c>
      <c r="N3" s="62">
        <f t="shared" ref="N3:N11" si="3">ROUND(M3,2)-ROUND(L3,2)</f>
        <v>-9.9999999999999811E-3</v>
      </c>
      <c r="O3" s="52">
        <f>132.2/911</f>
        <v>0.14511525795828759</v>
      </c>
      <c r="P3" s="52">
        <f>134.2/928</f>
        <v>0.14461206896551723</v>
      </c>
      <c r="Q3" s="62">
        <f t="shared" ref="Q3:Q11" si="4">ROUND(P3,2)-ROUND(O3,2)</f>
        <v>-9.9999999999999811E-3</v>
      </c>
      <c r="R3" s="60" t="str">
        <f t="shared" ref="R3:R11" si="5">IF(AND(N3&lt;0,Q3&gt;N3),"False","True")</f>
        <v>True</v>
      </c>
    </row>
    <row r="4" spans="1:18" ht="15.5">
      <c r="A4" s="53">
        <v>230261000020</v>
      </c>
      <c r="B4" s="50" t="s">
        <v>140</v>
      </c>
      <c r="C4" s="50" t="s">
        <v>144</v>
      </c>
      <c r="D4" s="51" t="s">
        <v>20</v>
      </c>
      <c r="E4" s="58">
        <v>12319</v>
      </c>
      <c r="F4" s="58">
        <v>13771</v>
      </c>
      <c r="G4" s="61">
        <f t="shared" si="0"/>
        <v>1452</v>
      </c>
      <c r="H4" s="58">
        <v>10892</v>
      </c>
      <c r="I4" s="58">
        <v>11153</v>
      </c>
      <c r="J4" s="61">
        <f t="shared" si="1"/>
        <v>261</v>
      </c>
      <c r="K4" s="60" t="str">
        <f t="shared" si="2"/>
        <v>True</v>
      </c>
      <c r="L4" s="52">
        <f>40/222</f>
        <v>0.18018018018018017</v>
      </c>
      <c r="M4" s="52">
        <f>40/194</f>
        <v>0.20618556701030927</v>
      </c>
      <c r="N4" s="62">
        <f t="shared" si="3"/>
        <v>0.03</v>
      </c>
      <c r="O4" s="52">
        <f>268.8/1756</f>
        <v>0.1530751708428246</v>
      </c>
      <c r="P4" s="52">
        <f>266.8/1710</f>
        <v>0.15602339181286551</v>
      </c>
      <c r="Q4" s="62">
        <f t="shared" si="4"/>
        <v>1.0000000000000009E-2</v>
      </c>
      <c r="R4" s="60" t="str">
        <f t="shared" si="5"/>
        <v>True</v>
      </c>
    </row>
    <row r="5" spans="1:18" ht="15.5">
      <c r="A5" s="53">
        <v>230261000021</v>
      </c>
      <c r="B5" s="50" t="s">
        <v>140</v>
      </c>
      <c r="C5" s="50" t="s">
        <v>145</v>
      </c>
      <c r="D5" s="51" t="s">
        <v>20</v>
      </c>
      <c r="E5" s="58">
        <v>9420</v>
      </c>
      <c r="F5" s="58">
        <v>10201</v>
      </c>
      <c r="G5" s="61">
        <f t="shared" si="0"/>
        <v>781</v>
      </c>
      <c r="H5" s="58">
        <v>10892</v>
      </c>
      <c r="I5" s="58">
        <v>11153</v>
      </c>
      <c r="J5" s="61">
        <f t="shared" si="1"/>
        <v>261</v>
      </c>
      <c r="K5" s="60" t="str">
        <f t="shared" si="2"/>
        <v>True</v>
      </c>
      <c r="L5" s="52">
        <f>40/257</f>
        <v>0.1556420233463035</v>
      </c>
      <c r="M5" s="52">
        <f>38/243</f>
        <v>0.15637860082304528</v>
      </c>
      <c r="N5" s="62">
        <f t="shared" si="3"/>
        <v>0</v>
      </c>
      <c r="O5" s="52">
        <f>268.8/1756</f>
        <v>0.1530751708428246</v>
      </c>
      <c r="P5" s="52">
        <f>266.8/1710</f>
        <v>0.15602339181286551</v>
      </c>
      <c r="Q5" s="62">
        <f t="shared" si="4"/>
        <v>1.0000000000000009E-2</v>
      </c>
      <c r="R5" s="60" t="str">
        <f t="shared" si="5"/>
        <v>True</v>
      </c>
    </row>
    <row r="6" spans="1:18" ht="15.5">
      <c r="A6" s="53">
        <v>230282000047</v>
      </c>
      <c r="B6" s="50" t="s">
        <v>146</v>
      </c>
      <c r="C6" s="50" t="s">
        <v>147</v>
      </c>
      <c r="D6" s="51" t="s">
        <v>143</v>
      </c>
      <c r="E6" s="58">
        <v>12682.99</v>
      </c>
      <c r="F6" s="58">
        <v>13716.36</v>
      </c>
      <c r="G6" s="61">
        <f t="shared" si="0"/>
        <v>1033.3700000000008</v>
      </c>
      <c r="H6" s="58">
        <v>12682.99</v>
      </c>
      <c r="I6" s="58">
        <v>13716.36</v>
      </c>
      <c r="J6" s="61">
        <f t="shared" si="1"/>
        <v>1033.3700000000008</v>
      </c>
      <c r="K6" s="60" t="str">
        <f t="shared" si="2"/>
        <v>True</v>
      </c>
      <c r="L6" s="52">
        <f>159.48/1143</f>
        <v>0.1395275590551181</v>
      </c>
      <c r="M6" s="52">
        <f>157.37/1086</f>
        <v>0.14490791896869246</v>
      </c>
      <c r="N6" s="62">
        <f t="shared" si="3"/>
        <v>0</v>
      </c>
      <c r="O6" s="52">
        <f>159.48/1143</f>
        <v>0.1395275590551181</v>
      </c>
      <c r="P6" s="52">
        <f>157.37/1086</f>
        <v>0.14490791896869246</v>
      </c>
      <c r="Q6" s="62">
        <f t="shared" si="4"/>
        <v>0</v>
      </c>
      <c r="R6" s="60" t="str">
        <f t="shared" si="5"/>
        <v>True</v>
      </c>
    </row>
    <row r="7" spans="1:18" ht="15.5">
      <c r="A7" s="53">
        <v>230282000049</v>
      </c>
      <c r="B7" s="50" t="s">
        <v>146</v>
      </c>
      <c r="C7" s="50" t="s">
        <v>148</v>
      </c>
      <c r="D7" s="51" t="s">
        <v>149</v>
      </c>
      <c r="E7" s="58">
        <v>14353.02</v>
      </c>
      <c r="F7" s="58">
        <v>16485.599999999999</v>
      </c>
      <c r="G7" s="61">
        <f t="shared" si="0"/>
        <v>2132.5799999999981</v>
      </c>
      <c r="H7" s="58">
        <v>14970.58</v>
      </c>
      <c r="I7" s="58">
        <v>15783.3</v>
      </c>
      <c r="J7" s="61">
        <f t="shared" si="1"/>
        <v>812.71999999999935</v>
      </c>
      <c r="K7" s="60" t="str">
        <f t="shared" si="2"/>
        <v>True</v>
      </c>
      <c r="L7" s="52">
        <f>50.87/274</f>
        <v>0.18565693430656932</v>
      </c>
      <c r="M7" s="52">
        <f>65.42/294</f>
        <v>0.2225170068027211</v>
      </c>
      <c r="N7" s="62">
        <f t="shared" si="3"/>
        <v>0.03</v>
      </c>
      <c r="O7" s="52">
        <f>284.58/1599</f>
        <v>0.17797373358348967</v>
      </c>
      <c r="P7" s="52">
        <f>305.14/1611</f>
        <v>0.1894103041589075</v>
      </c>
      <c r="Q7" s="62">
        <f t="shared" si="4"/>
        <v>1.0000000000000009E-2</v>
      </c>
      <c r="R7" s="60" t="str">
        <f t="shared" si="5"/>
        <v>True</v>
      </c>
    </row>
    <row r="8" spans="1:18" ht="15.5">
      <c r="A8" s="53">
        <v>230282000051</v>
      </c>
      <c r="B8" s="50" t="s">
        <v>146</v>
      </c>
      <c r="C8" s="50" t="s">
        <v>150</v>
      </c>
      <c r="D8" s="51" t="s">
        <v>31</v>
      </c>
      <c r="E8" s="58">
        <v>14200.22</v>
      </c>
      <c r="F8" s="58">
        <v>14636.15</v>
      </c>
      <c r="G8" s="61">
        <f t="shared" si="0"/>
        <v>435.93000000000029</v>
      </c>
      <c r="H8" s="58">
        <v>14228.32</v>
      </c>
      <c r="I8" s="58">
        <v>14835.82</v>
      </c>
      <c r="J8" s="61">
        <f t="shared" si="1"/>
        <v>607.5</v>
      </c>
      <c r="K8" s="60" t="str">
        <f t="shared" si="2"/>
        <v>True</v>
      </c>
      <c r="L8" s="52">
        <f>57.72/357</f>
        <v>0.16168067226890756</v>
      </c>
      <c r="M8" s="52">
        <f>59.97/355</f>
        <v>0.16892957746478873</v>
      </c>
      <c r="N8" s="62">
        <f t="shared" si="3"/>
        <v>1.0000000000000009E-2</v>
      </c>
      <c r="O8" s="52">
        <f>118.64/734</f>
        <v>0.16163487738419619</v>
      </c>
      <c r="P8" s="52">
        <f>121.49/719</f>
        <v>0.16897079276773297</v>
      </c>
      <c r="Q8" s="62">
        <f t="shared" si="4"/>
        <v>1.0000000000000009E-2</v>
      </c>
      <c r="R8" s="60" t="str">
        <f t="shared" si="5"/>
        <v>True</v>
      </c>
    </row>
    <row r="9" spans="1:18" ht="18" customHeight="1">
      <c r="A9" s="53">
        <v>230732023179</v>
      </c>
      <c r="B9" s="54" t="s">
        <v>151</v>
      </c>
      <c r="C9" s="55" t="s">
        <v>152</v>
      </c>
      <c r="D9" s="51" t="s">
        <v>20</v>
      </c>
      <c r="E9" s="58">
        <v>13678.97</v>
      </c>
      <c r="F9" s="58">
        <v>15595.78</v>
      </c>
      <c r="G9" s="61">
        <f t="shared" si="0"/>
        <v>1916.8100000000013</v>
      </c>
      <c r="H9" s="58">
        <v>13620.97</v>
      </c>
      <c r="I9" s="58">
        <v>14708.38</v>
      </c>
      <c r="J9" s="61">
        <f t="shared" si="1"/>
        <v>1087.4099999999999</v>
      </c>
      <c r="K9" s="60" t="str">
        <f t="shared" si="2"/>
        <v>True</v>
      </c>
      <c r="L9" s="52">
        <f>121/672</f>
        <v>0.18005952380952381</v>
      </c>
      <c r="M9" s="52">
        <f>130.8/677</f>
        <v>0.19320531757754802</v>
      </c>
      <c r="N9" s="62">
        <f t="shared" si="3"/>
        <v>1.0000000000000009E-2</v>
      </c>
      <c r="O9" s="56">
        <f>748.5/5160</f>
        <v>0.14505813953488372</v>
      </c>
      <c r="P9" s="56">
        <f>833.8/5049</f>
        <v>0.16514161220043572</v>
      </c>
      <c r="Q9" s="62">
        <f t="shared" si="4"/>
        <v>2.0000000000000018E-2</v>
      </c>
      <c r="R9" s="60" t="str">
        <f t="shared" si="5"/>
        <v>True</v>
      </c>
    </row>
    <row r="10" spans="1:18" ht="15.5">
      <c r="A10" s="53">
        <v>230732000190</v>
      </c>
      <c r="B10" s="54" t="s">
        <v>151</v>
      </c>
      <c r="C10" s="50" t="s">
        <v>153</v>
      </c>
      <c r="D10" s="51" t="s">
        <v>143</v>
      </c>
      <c r="E10" s="58">
        <v>12589.39</v>
      </c>
      <c r="F10" s="58">
        <v>13048.7</v>
      </c>
      <c r="G10" s="61">
        <f t="shared" si="0"/>
        <v>459.31000000000131</v>
      </c>
      <c r="H10" s="58">
        <v>13620.97</v>
      </c>
      <c r="I10" s="58">
        <v>14708.38</v>
      </c>
      <c r="J10" s="61">
        <f t="shared" si="1"/>
        <v>1087.4099999999999</v>
      </c>
      <c r="K10" s="60" t="str">
        <f t="shared" si="2"/>
        <v>True</v>
      </c>
      <c r="L10" s="52">
        <f>204/1596</f>
        <v>0.12781954887218044</v>
      </c>
      <c r="M10" s="52">
        <f>203.4/1546</f>
        <v>0.1315653298835705</v>
      </c>
      <c r="N10" s="62">
        <f t="shared" si="3"/>
        <v>0</v>
      </c>
      <c r="O10" s="52">
        <f>748.5/5160</f>
        <v>0.14505813953488372</v>
      </c>
      <c r="P10" s="52">
        <f>833.8/5049</f>
        <v>0.16514161220043572</v>
      </c>
      <c r="Q10" s="62">
        <f t="shared" si="4"/>
        <v>2.0000000000000018E-2</v>
      </c>
      <c r="R10" s="60" t="str">
        <f t="shared" si="5"/>
        <v>True</v>
      </c>
    </row>
    <row r="11" spans="1:18" ht="15.5">
      <c r="A11" s="53">
        <v>230732000191</v>
      </c>
      <c r="B11" s="54" t="s">
        <v>151</v>
      </c>
      <c r="C11" s="50" t="s">
        <v>154</v>
      </c>
      <c r="D11" s="51" t="s">
        <v>70</v>
      </c>
      <c r="E11" s="58">
        <v>13382.48</v>
      </c>
      <c r="F11" s="58">
        <v>14849.18</v>
      </c>
      <c r="G11" s="61">
        <f t="shared" si="0"/>
        <v>1466.7000000000007</v>
      </c>
      <c r="H11" s="58">
        <v>13620.97</v>
      </c>
      <c r="I11" s="58">
        <v>14708.38</v>
      </c>
      <c r="J11" s="61">
        <f t="shared" si="1"/>
        <v>1087.4099999999999</v>
      </c>
      <c r="K11" s="60" t="str">
        <f t="shared" si="2"/>
        <v>True</v>
      </c>
      <c r="L11" s="52">
        <f>102.1/766</f>
        <v>0.13328981723237598</v>
      </c>
      <c r="M11" s="52">
        <f>115.4/732</f>
        <v>0.15765027322404374</v>
      </c>
      <c r="N11" s="62">
        <f t="shared" si="3"/>
        <v>0.03</v>
      </c>
      <c r="O11" s="56">
        <f>748.5/5160</f>
        <v>0.14505813953488372</v>
      </c>
      <c r="P11" s="56">
        <f>833.8/5049</f>
        <v>0.16514161220043572</v>
      </c>
      <c r="Q11" s="62">
        <f t="shared" si="4"/>
        <v>2.0000000000000018E-2</v>
      </c>
      <c r="R11" s="60" t="str">
        <f t="shared" si="5"/>
        <v>True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dad155-e792-4c41-8984-1fb63e4fd40b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b6d7e98c-5e8d-497e-951f-36ce57dd8bc7">
      <Terms xmlns="http://schemas.microsoft.com/office/infopath/2007/PartnerControls"/>
    </lcf76f155ced4ddcb4097134ff3c332f>
    <SharedWithUsers xmlns="e0dad155-e792-4c41-8984-1fb63e4fd40b">
      <UserInfo>
        <DisplayName>Kusiak, Karen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52A0BD95304B82A96B2412929E50" ma:contentTypeVersion="18" ma:contentTypeDescription="Create a new document." ma:contentTypeScope="" ma:versionID="ab458a851b84578f616f27d38ced2ec4">
  <xsd:schema xmlns:xsd="http://www.w3.org/2001/XMLSchema" xmlns:xs="http://www.w3.org/2001/XMLSchema" xmlns:p="http://schemas.microsoft.com/office/2006/metadata/properties" xmlns:ns1="http://schemas.microsoft.com/sharepoint/v3" xmlns:ns2="b6d7e98c-5e8d-497e-951f-36ce57dd8bc7" xmlns:ns3="e0dad155-e792-4c41-8984-1fb63e4fd40b" targetNamespace="http://schemas.microsoft.com/office/2006/metadata/properties" ma:root="true" ma:fieldsID="b9ceed1d3ec1a2d95ff7f9fcca1eb5eb" ns1:_="" ns2:_="" ns3:_="">
    <xsd:import namespace="http://schemas.microsoft.com/sharepoint/v3"/>
    <xsd:import namespace="b6d7e98c-5e8d-497e-951f-36ce57dd8bc7"/>
    <xsd:import namespace="e0dad155-e792-4c41-8984-1fb63e4fd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7e98c-5e8d-497e-951f-36ce57dd8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ad155-e792-4c41-8984-1fb63e4fd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fef533e-f3f4-4847-96a8-e6f89955059b}" ma:internalName="TaxCatchAll" ma:showField="CatchAllData" ma:web="e0dad155-e792-4c41-8984-1fb63e4fd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B86A4-F428-4AAC-9EB5-B52AD9E337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A4B15-1B24-403A-8CE3-6726C4DD86C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0dad155-e792-4c41-8984-1fb63e4fd40b"/>
    <ds:schemaRef ds:uri="b6d7e98c-5e8d-497e-951f-36ce57dd8b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45B4CA-DF04-4888-B6B2-E87CE1A62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d7e98c-5e8d-497e-951f-36ce57dd8bc7"/>
    <ds:schemaRef ds:uri="e0dad155-e792-4c41-8984-1fb63e4fd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Non-excepted LEA-wide</vt:lpstr>
      <vt:lpstr>Non-excepted Grade-span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Kusiak, Karen</cp:lastModifiedBy>
  <cp:revision/>
  <dcterms:created xsi:type="dcterms:W3CDTF">2024-01-05T19:51:34Z</dcterms:created>
  <dcterms:modified xsi:type="dcterms:W3CDTF">2024-02-02T19:37:57Z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0x0101000F4B52A0BD95304B82A96B2412929E50</vt:lpwstr>
  </property>
  <property fmtid="{D5CDD505-2E9C-101B-9397-08002B2CF9AE}" pid="3" name="MediaServiceImageTags">
    <vt:lpwstr/>
  </property>
</Properties>
</file>